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codeName="ThisWorkbook" defaultThemeVersion="166925"/>
  <mc:AlternateContent xmlns:mc="http://schemas.openxmlformats.org/markup-compatibility/2006">
    <mc:Choice Requires="x15">
      <x15ac:absPath xmlns:x15ac="http://schemas.microsoft.com/office/spreadsheetml/2010/11/ac" url="C:\Users\simon.cole\OneDrive - AECOM Directory\SoBRA\Asbestos sub-group\"/>
    </mc:Choice>
  </mc:AlternateContent>
  <xr:revisionPtr revIDLastSave="8" documentId="8_{9FD7A997-4496-40F2-9146-050A7D3F3695}" xr6:coauthVersionLast="41" xr6:coauthVersionMax="45" xr10:uidLastSave="{B867574B-7A1D-497A-9808-0263DEC01071}"/>
  <bookViews>
    <workbookView xWindow="-120" yWindow="-120" windowWidth="29040" windowHeight="15840" activeTab="1" xr2:uid="{6E0DE867-23C8-47F8-9793-2341C7279EC4}"/>
  </bookViews>
  <sheets>
    <sheet name="Please read first" sheetId="6" r:id="rId1"/>
    <sheet name="Asbestos risk" sheetId="5" r:id="rId2"/>
    <sheet name="Parameter look up and reference" sheetId="4" r:id="rId3"/>
    <sheet name="lung can new" sheetId="2" state="hidden" r:id="rId4"/>
    <sheet name="smokers" sheetId="3" state="hidden" r:id="rId5"/>
  </sheets>
  <definedNames>
    <definedName name="Age_adj_l_1">'Asbestos risk'!$C$110</definedName>
    <definedName name="Age_adj_l_10">'Asbestos risk'!$C$119</definedName>
    <definedName name="Age_adj_l_11">'Asbestos risk'!$C$120</definedName>
    <definedName name="Age_adj_l_12">'Asbestos risk'!$C$121</definedName>
    <definedName name="Age_adj_l_2">'Asbestos risk'!$C$111</definedName>
    <definedName name="Age_adj_l_3">'Asbestos risk'!$C$112</definedName>
    <definedName name="Age_adj_l_4">'Asbestos risk'!$C$113</definedName>
    <definedName name="Age_adj_l_5">'Asbestos risk'!$C$114</definedName>
    <definedName name="Age_adj_l_6">'Asbestos risk'!$C$115</definedName>
    <definedName name="Age_adj_l_7">'Asbestos risk'!$C$116</definedName>
    <definedName name="Age_adj_l_8">'Asbestos risk'!$C$117</definedName>
    <definedName name="Age_adj_l_9">'Asbestos risk'!$C$118</definedName>
    <definedName name="Age_adj_m_1">'Asbestos risk'!$C$69</definedName>
    <definedName name="Age_adj_m_10">'Asbestos risk'!$C$78</definedName>
    <definedName name="Age_adj_m_11">'Asbestos risk'!$C$79</definedName>
    <definedName name="Age_adj_m_12">'Asbestos risk'!$C$80</definedName>
    <definedName name="Age_adj_m_2">'Asbestos risk'!$C$70</definedName>
    <definedName name="Age_adj_m_3">'Asbestos risk'!$C$71</definedName>
    <definedName name="Age_adj_m_4">'Asbestos risk'!$C$72</definedName>
    <definedName name="Age_adj_m_5">'Asbestos risk'!$C$73</definedName>
    <definedName name="Age_adj_m_6">'Asbestos risk'!$C$74</definedName>
    <definedName name="Age_adj_m_7">'Asbestos risk'!$C$75</definedName>
    <definedName name="Age_adj_m_8">'Asbestos risk'!$C$76</definedName>
    <definedName name="Age_adj_m_9">'Asbestos risk'!$C$77</definedName>
    <definedName name="AL">'Asbestos risk'!$E$105</definedName>
    <definedName name="Apl">'Asbestos risk'!$E$61</definedName>
    <definedName name="Apr">'Asbestos risk'!$E$63</definedName>
    <definedName name="CumX_1">'Asbestos risk'!$I$28</definedName>
    <definedName name="CumX_10">'Asbestos risk'!$I$37</definedName>
    <definedName name="CumX_11">'Asbestos risk'!$I$38</definedName>
    <definedName name="CumX_12">'Asbestos risk'!$I$39</definedName>
    <definedName name="CumX_2">'Asbestos risk'!$I$29</definedName>
    <definedName name="CumX_3">'Asbestos risk'!$I$30</definedName>
    <definedName name="CumX_4">'Asbestos risk'!$I$31</definedName>
    <definedName name="CumX_5">'Asbestos risk'!$I$32</definedName>
    <definedName name="CumX_6">'Asbestos risk'!$I$33</definedName>
    <definedName name="CumX_7">'Asbestos risk'!$I$34</definedName>
    <definedName name="CumX_8">'Asbestos risk'!$I$35</definedName>
    <definedName name="CumX_9">'Asbestos risk'!$I$36</definedName>
    <definedName name="E_L">'Asbestos risk'!$E$107</definedName>
    <definedName name="Eadj">'Asbestos risk'!$E$65</definedName>
    <definedName name="r_lung">'Asbestos risk'!$E$106</definedName>
    <definedName name="r_meso">'Asbestos risk'!$E$62</definedName>
    <definedName name="solver_adj" localSheetId="1" hidden="1">'Asbestos risk'!$E$22</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'Asbestos risk'!$G$132</definedName>
    <definedName name="solver_pre" localSheetId="1" hidden="1">0.000000001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0.00001</definedName>
    <definedName name="solver_ver" localSheetId="1" hidden="1">3</definedName>
    <definedName name="t">'Asbestos risk'!$E$64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3" i="5" l="1"/>
  <c r="F83" i="5"/>
  <c r="C68" i="5"/>
  <c r="E60" i="5"/>
  <c r="G82" i="5"/>
  <c r="D129" i="5" l="1"/>
  <c r="E21" i="5"/>
  <c r="G28" i="5" l="1"/>
  <c r="G29" i="5"/>
  <c r="G30" i="5"/>
  <c r="G31" i="5"/>
  <c r="C110" i="5" l="1"/>
  <c r="J38" i="2"/>
  <c r="G68" i="5"/>
  <c r="C119" i="5" l="1"/>
  <c r="D69" i="5" l="1"/>
  <c r="C69" i="5"/>
  <c r="C112" i="5"/>
  <c r="E106" i="5"/>
  <c r="E64" i="5"/>
  <c r="E65" i="5"/>
  <c r="C116" i="5"/>
  <c r="C120" i="5"/>
  <c r="C113" i="5"/>
  <c r="C117" i="5"/>
  <c r="C114" i="5"/>
  <c r="D110" i="5"/>
  <c r="C121" i="5"/>
  <c r="C118" i="5"/>
  <c r="C111" i="5"/>
  <c r="C115" i="5"/>
  <c r="F107" i="5" l="1"/>
  <c r="F106" i="5"/>
  <c r="F105" i="5"/>
  <c r="E105" i="5"/>
  <c r="E104" i="5"/>
  <c r="C80" i="5"/>
  <c r="C79" i="5"/>
  <c r="C78" i="5"/>
  <c r="C77" i="5"/>
  <c r="C76" i="5"/>
  <c r="C75" i="5"/>
  <c r="C74" i="5"/>
  <c r="C73" i="5"/>
  <c r="C72" i="5"/>
  <c r="C71" i="5"/>
  <c r="C70" i="5"/>
  <c r="F65" i="5"/>
  <c r="F64" i="5"/>
  <c r="F63" i="5"/>
  <c r="F62" i="5"/>
  <c r="F61" i="5"/>
  <c r="E63" i="5"/>
  <c r="E62" i="5"/>
  <c r="E61" i="5"/>
  <c r="D130" i="5"/>
  <c r="D131" i="5"/>
  <c r="E131" i="5"/>
  <c r="E130" i="5"/>
  <c r="C38" i="5"/>
  <c r="G39" i="5" l="1"/>
  <c r="C30" i="5"/>
  <c r="H30" i="5" s="1"/>
  <c r="G37" i="5"/>
  <c r="G36" i="5"/>
  <c r="C34" i="5"/>
  <c r="G32" i="5"/>
  <c r="G33" i="5"/>
  <c r="G38" i="5"/>
  <c r="H38" i="5" s="1"/>
  <c r="C28" i="5"/>
  <c r="H28" i="5" s="1"/>
  <c r="C32" i="5"/>
  <c r="H32" i="5" s="1"/>
  <c r="G34" i="5"/>
  <c r="C36" i="5"/>
  <c r="H36" i="5" s="1"/>
  <c r="G35" i="5"/>
  <c r="C39" i="5"/>
  <c r="H39" i="5" s="1"/>
  <c r="C37" i="5"/>
  <c r="H37" i="5" s="1"/>
  <c r="C35" i="5"/>
  <c r="C33" i="5"/>
  <c r="C31" i="5"/>
  <c r="H31" i="5" s="1"/>
  <c r="C29" i="5"/>
  <c r="H29" i="5" s="1"/>
  <c r="H34" i="5" l="1"/>
  <c r="H33" i="5"/>
  <c r="H35" i="5"/>
  <c r="I28" i="5"/>
  <c r="I29" i="5"/>
  <c r="I30" i="5"/>
  <c r="I31" i="5"/>
  <c r="I33" i="5"/>
  <c r="E70" i="5" l="1"/>
  <c r="F70" i="5" s="1"/>
  <c r="G70" i="5" s="1"/>
  <c r="E110" i="5"/>
  <c r="E69" i="5"/>
  <c r="F69" i="5" s="1"/>
  <c r="G69" i="5" s="1"/>
  <c r="I34" i="5"/>
  <c r="I35" i="5"/>
  <c r="E111" i="5"/>
  <c r="I32" i="5"/>
  <c r="I39" i="5"/>
  <c r="I37" i="5"/>
  <c r="I38" i="5"/>
  <c r="I36" i="5"/>
  <c r="E80" i="5" l="1"/>
  <c r="F80" i="5" s="1"/>
  <c r="G80" i="5" s="1"/>
  <c r="E120" i="5"/>
  <c r="E79" i="5"/>
  <c r="F79" i="5" s="1"/>
  <c r="G79" i="5" s="1"/>
  <c r="E113" i="5"/>
  <c r="E72" i="5"/>
  <c r="F72" i="5" s="1"/>
  <c r="G72" i="5" s="1"/>
  <c r="E118" i="5"/>
  <c r="E77" i="5"/>
  <c r="F77" i="5" s="1"/>
  <c r="G77" i="5" s="1"/>
  <c r="E112" i="5"/>
  <c r="E71" i="5"/>
  <c r="F71" i="5" s="1"/>
  <c r="G71" i="5" s="1"/>
  <c r="E116" i="5"/>
  <c r="E75" i="5"/>
  <c r="F75" i="5" s="1"/>
  <c r="G75" i="5" s="1"/>
  <c r="E119" i="5"/>
  <c r="E78" i="5"/>
  <c r="F78" i="5" s="1"/>
  <c r="G78" i="5" s="1"/>
  <c r="E114" i="5"/>
  <c r="E73" i="5"/>
  <c r="F73" i="5" s="1"/>
  <c r="G73" i="5" s="1"/>
  <c r="E121" i="5"/>
  <c r="E115" i="5"/>
  <c r="E74" i="5"/>
  <c r="F74" i="5" s="1"/>
  <c r="G74" i="5" s="1"/>
  <c r="E117" i="5"/>
  <c r="E76" i="5"/>
  <c r="F76" i="5" s="1"/>
  <c r="G76" i="5" s="1"/>
  <c r="K38" i="3" l="1"/>
  <c r="V38" i="3" s="1"/>
  <c r="H38" i="3"/>
  <c r="R38" i="3" s="1"/>
  <c r="E38" i="3"/>
  <c r="N38" i="3" s="1"/>
  <c r="K37" i="3"/>
  <c r="V37" i="3" s="1"/>
  <c r="H37" i="3"/>
  <c r="R37" i="3" s="1"/>
  <c r="E37" i="3"/>
  <c r="N37" i="3" s="1"/>
  <c r="K36" i="3"/>
  <c r="V36" i="3" s="1"/>
  <c r="H36" i="3"/>
  <c r="R36" i="3" s="1"/>
  <c r="E36" i="3"/>
  <c r="N36" i="3" s="1"/>
  <c r="K35" i="3"/>
  <c r="V35" i="3" s="1"/>
  <c r="H35" i="3"/>
  <c r="R35" i="3" s="1"/>
  <c r="E35" i="3"/>
  <c r="N35" i="3" s="1"/>
  <c r="S34" i="3"/>
  <c r="Q34" i="3"/>
  <c r="K34" i="3"/>
  <c r="V34" i="3" s="1"/>
  <c r="H34" i="3"/>
  <c r="R34" i="3" s="1"/>
  <c r="E34" i="3"/>
  <c r="N34" i="3" s="1"/>
  <c r="S33" i="3"/>
  <c r="Q33" i="3"/>
  <c r="K33" i="3"/>
  <c r="V33" i="3" s="1"/>
  <c r="H33" i="3"/>
  <c r="R33" i="3" s="1"/>
  <c r="E33" i="3"/>
  <c r="N33" i="3" s="1"/>
  <c r="S32" i="3"/>
  <c r="K32" i="3"/>
  <c r="V32" i="3" s="1"/>
  <c r="H32" i="3"/>
  <c r="R32" i="3" s="1"/>
  <c r="E32" i="3"/>
  <c r="N32" i="3" s="1"/>
  <c r="K31" i="3"/>
  <c r="V31" i="3" s="1"/>
  <c r="H31" i="3"/>
  <c r="R31" i="3" s="1"/>
  <c r="E31" i="3"/>
  <c r="N31" i="3" s="1"/>
  <c r="S30" i="3"/>
  <c r="Q30" i="3"/>
  <c r="K30" i="3"/>
  <c r="V30" i="3" s="1"/>
  <c r="H30" i="3"/>
  <c r="R30" i="3" s="1"/>
  <c r="E30" i="3"/>
  <c r="N30" i="3" s="1"/>
  <c r="S29" i="3"/>
  <c r="Q29" i="3"/>
  <c r="K29" i="3"/>
  <c r="V29" i="3" s="1"/>
  <c r="H29" i="3"/>
  <c r="R29" i="3" s="1"/>
  <c r="E29" i="3"/>
  <c r="N29" i="3" s="1"/>
  <c r="S28" i="3"/>
  <c r="K28" i="3"/>
  <c r="V28" i="3" s="1"/>
  <c r="H28" i="3"/>
  <c r="R28" i="3" s="1"/>
  <c r="E28" i="3"/>
  <c r="N28" i="3" s="1"/>
  <c r="K27" i="3"/>
  <c r="V27" i="3" s="1"/>
  <c r="H27" i="3"/>
  <c r="R27" i="3" s="1"/>
  <c r="E27" i="3"/>
  <c r="N27" i="3" s="1"/>
  <c r="S26" i="3"/>
  <c r="Q26" i="3"/>
  <c r="K26" i="3"/>
  <c r="V26" i="3" s="1"/>
  <c r="H26" i="3"/>
  <c r="R26" i="3" s="1"/>
  <c r="E26" i="3"/>
  <c r="N26" i="3" s="1"/>
  <c r="S25" i="3"/>
  <c r="Q25" i="3"/>
  <c r="K25" i="3"/>
  <c r="V25" i="3" s="1"/>
  <c r="H25" i="3"/>
  <c r="R25" i="3" s="1"/>
  <c r="E25" i="3"/>
  <c r="N25" i="3" s="1"/>
  <c r="S24" i="3"/>
  <c r="K24" i="3"/>
  <c r="V24" i="3" s="1"/>
  <c r="H24" i="3"/>
  <c r="R24" i="3" s="1"/>
  <c r="E24" i="3"/>
  <c r="N24" i="3" s="1"/>
  <c r="K22" i="3"/>
  <c r="V22" i="3" s="1"/>
  <c r="H22" i="3"/>
  <c r="R22" i="3" s="1"/>
  <c r="E22" i="3"/>
  <c r="N22" i="3" s="1"/>
  <c r="S21" i="3"/>
  <c r="Q21" i="3"/>
  <c r="K21" i="3"/>
  <c r="V21" i="3" s="1"/>
  <c r="H21" i="3"/>
  <c r="R21" i="3" s="1"/>
  <c r="E21" i="3"/>
  <c r="N21" i="3" s="1"/>
  <c r="S20" i="3"/>
  <c r="Q20" i="3"/>
  <c r="K20" i="3"/>
  <c r="V20" i="3" s="1"/>
  <c r="H20" i="3"/>
  <c r="R20" i="3" s="1"/>
  <c r="E20" i="3"/>
  <c r="N20" i="3" s="1"/>
  <c r="O19" i="3"/>
  <c r="K19" i="3"/>
  <c r="V19" i="3" s="1"/>
  <c r="H19" i="3"/>
  <c r="R19" i="3" s="1"/>
  <c r="E19" i="3"/>
  <c r="S18" i="3"/>
  <c r="Q18" i="3"/>
  <c r="K18" i="3"/>
  <c r="H18" i="3"/>
  <c r="R18" i="3" s="1"/>
  <c r="E18" i="3"/>
  <c r="O18" i="3" s="1"/>
  <c r="S17" i="3"/>
  <c r="Q17" i="3"/>
  <c r="K17" i="3"/>
  <c r="H17" i="3"/>
  <c r="R17" i="3" s="1"/>
  <c r="E17" i="3"/>
  <c r="O17" i="3" s="1"/>
  <c r="O16" i="3"/>
  <c r="K16" i="3"/>
  <c r="H16" i="3"/>
  <c r="R16" i="3" s="1"/>
  <c r="E16" i="3"/>
  <c r="S15" i="3"/>
  <c r="Q15" i="3"/>
  <c r="K15" i="3"/>
  <c r="H15" i="3"/>
  <c r="R15" i="3" s="1"/>
  <c r="E15" i="3"/>
  <c r="S14" i="3"/>
  <c r="Q14" i="3"/>
  <c r="K14" i="3"/>
  <c r="H14" i="3"/>
  <c r="R14" i="3" s="1"/>
  <c r="E14" i="3"/>
  <c r="O14" i="3" s="1"/>
  <c r="S13" i="3"/>
  <c r="K13" i="3"/>
  <c r="H13" i="3"/>
  <c r="R13" i="3" s="1"/>
  <c r="E13" i="3"/>
  <c r="O13" i="3" s="1"/>
  <c r="Q12" i="3"/>
  <c r="O12" i="3"/>
  <c r="K12" i="3"/>
  <c r="H12" i="3"/>
  <c r="R12" i="3" s="1"/>
  <c r="E12" i="3"/>
  <c r="S11" i="3"/>
  <c r="Q11" i="3"/>
  <c r="K11" i="3"/>
  <c r="H11" i="3"/>
  <c r="R11" i="3" s="1"/>
  <c r="E11" i="3"/>
  <c r="S10" i="3"/>
  <c r="K10" i="3"/>
  <c r="H10" i="3"/>
  <c r="R10" i="3" s="1"/>
  <c r="E10" i="3"/>
  <c r="O10" i="3" s="1"/>
  <c r="D4" i="3"/>
  <c r="D3" i="3"/>
  <c r="D2" i="3"/>
  <c r="W43" i="2"/>
  <c r="V43" i="2"/>
  <c r="U43" i="2"/>
  <c r="T43" i="2"/>
  <c r="S43" i="2"/>
  <c r="R43" i="2"/>
  <c r="Q43" i="2"/>
  <c r="P43" i="2"/>
  <c r="O43" i="2"/>
  <c r="N43" i="2"/>
  <c r="M43" i="2"/>
  <c r="L43" i="2"/>
  <c r="K43" i="2"/>
  <c r="J43" i="2"/>
  <c r="I43" i="2"/>
  <c r="H43" i="2"/>
  <c r="G43" i="2"/>
  <c r="F43" i="2"/>
  <c r="E43" i="2"/>
  <c r="D43" i="2"/>
  <c r="W38" i="2"/>
  <c r="V38" i="2"/>
  <c r="U38" i="2"/>
  <c r="T38" i="2"/>
  <c r="S38" i="2"/>
  <c r="R38" i="2"/>
  <c r="Q38" i="2"/>
  <c r="P38" i="2"/>
  <c r="O38" i="2"/>
  <c r="N38" i="2"/>
  <c r="M38" i="2"/>
  <c r="L38" i="2"/>
  <c r="K38" i="2"/>
  <c r="I38" i="2"/>
  <c r="H38" i="2"/>
  <c r="G38" i="2"/>
  <c r="F38" i="2"/>
  <c r="E38" i="2"/>
  <c r="D38" i="2"/>
  <c r="D37" i="2"/>
  <c r="D36" i="2"/>
  <c r="W33" i="2"/>
  <c r="V33" i="2"/>
  <c r="U33" i="2"/>
  <c r="T33" i="2"/>
  <c r="S33" i="2"/>
  <c r="R33" i="2"/>
  <c r="Q33" i="2"/>
  <c r="P33" i="2"/>
  <c r="O33" i="2"/>
  <c r="N33" i="2"/>
  <c r="M33" i="2"/>
  <c r="L33" i="2"/>
  <c r="K33" i="2"/>
  <c r="J33" i="2"/>
  <c r="I33" i="2"/>
  <c r="H33" i="2"/>
  <c r="G33" i="2"/>
  <c r="F33" i="2"/>
  <c r="E33" i="2"/>
  <c r="D33" i="2"/>
  <c r="D42" i="2" s="1"/>
  <c r="D66" i="2" s="1"/>
  <c r="D67" i="2" s="1"/>
  <c r="W29" i="2"/>
  <c r="V29" i="2"/>
  <c r="U29" i="2"/>
  <c r="T29" i="2"/>
  <c r="S29" i="2"/>
  <c r="R29" i="2"/>
  <c r="Q29" i="2"/>
  <c r="P29" i="2"/>
  <c r="O29" i="2"/>
  <c r="N29" i="2"/>
  <c r="M29" i="2"/>
  <c r="L29" i="2"/>
  <c r="K29" i="2"/>
  <c r="J29" i="2"/>
  <c r="I29" i="2"/>
  <c r="H29" i="2"/>
  <c r="G29" i="2"/>
  <c r="F29" i="2"/>
  <c r="E29" i="2"/>
  <c r="D29" i="2"/>
  <c r="D41" i="2" s="1"/>
  <c r="D61" i="2" s="1"/>
  <c r="D62" i="2" s="1"/>
  <c r="W22" i="2"/>
  <c r="V22" i="2"/>
  <c r="U22" i="2"/>
  <c r="U37" i="2" s="1"/>
  <c r="T22" i="2"/>
  <c r="T37" i="2" s="1"/>
  <c r="S22" i="2"/>
  <c r="R22" i="2"/>
  <c r="Q22" i="2"/>
  <c r="Q37" i="2" s="1"/>
  <c r="P22" i="2"/>
  <c r="P37" i="2" s="1"/>
  <c r="O22" i="2"/>
  <c r="N22" i="2"/>
  <c r="M22" i="2"/>
  <c r="M37" i="2" s="1"/>
  <c r="L22" i="2"/>
  <c r="L37" i="2" s="1"/>
  <c r="K22" i="2"/>
  <c r="J22" i="2"/>
  <c r="I22" i="2"/>
  <c r="I37" i="2" s="1"/>
  <c r="H22" i="2"/>
  <c r="H37" i="2" s="1"/>
  <c r="G22" i="2"/>
  <c r="F22" i="2"/>
  <c r="E22" i="2"/>
  <c r="E37" i="2" s="1"/>
  <c r="W18" i="2"/>
  <c r="W36" i="2" s="1"/>
  <c r="V18" i="2"/>
  <c r="U18" i="2"/>
  <c r="T18" i="2"/>
  <c r="T36" i="2" s="1"/>
  <c r="S18" i="2"/>
  <c r="S36" i="2" s="1"/>
  <c r="R18" i="2"/>
  <c r="Q18" i="2"/>
  <c r="P18" i="2"/>
  <c r="P36" i="2" s="1"/>
  <c r="O18" i="2"/>
  <c r="O36" i="2" s="1"/>
  <c r="N18" i="2"/>
  <c r="M18" i="2"/>
  <c r="L18" i="2"/>
  <c r="L36" i="2" s="1"/>
  <c r="K18" i="2"/>
  <c r="K36" i="2" s="1"/>
  <c r="J18" i="2"/>
  <c r="I18" i="2"/>
  <c r="H18" i="2"/>
  <c r="H36" i="2" s="1"/>
  <c r="G18" i="2"/>
  <c r="G36" i="2" s="1"/>
  <c r="F18" i="2"/>
  <c r="E18" i="2"/>
  <c r="W11" i="2"/>
  <c r="W42" i="2" s="1"/>
  <c r="V11" i="2"/>
  <c r="V42" i="2" s="1"/>
  <c r="U11" i="2"/>
  <c r="T11" i="2"/>
  <c r="S11" i="2"/>
  <c r="S42" i="2" s="1"/>
  <c r="R11" i="2"/>
  <c r="R42" i="2" s="1"/>
  <c r="Q11" i="2"/>
  <c r="P11" i="2"/>
  <c r="O11" i="2"/>
  <c r="O42" i="2" s="1"/>
  <c r="N11" i="2"/>
  <c r="N42" i="2" s="1"/>
  <c r="M11" i="2"/>
  <c r="L11" i="2"/>
  <c r="K11" i="2"/>
  <c r="K42" i="2" s="1"/>
  <c r="J11" i="2"/>
  <c r="J42" i="2" s="1"/>
  <c r="J51" i="2" s="1"/>
  <c r="I11" i="2"/>
  <c r="H11" i="2"/>
  <c r="G11" i="2"/>
  <c r="G42" i="2" s="1"/>
  <c r="F11" i="2"/>
  <c r="F42" i="2" s="1"/>
  <c r="E11" i="2"/>
  <c r="W7" i="2"/>
  <c r="W41" i="2" s="1"/>
  <c r="V7" i="2"/>
  <c r="V41" i="2" s="1"/>
  <c r="U7" i="2"/>
  <c r="U41" i="2" s="1"/>
  <c r="T7" i="2"/>
  <c r="S7" i="2"/>
  <c r="S41" i="2" s="1"/>
  <c r="R7" i="2"/>
  <c r="R41" i="2" s="1"/>
  <c r="Q7" i="2"/>
  <c r="Q41" i="2" s="1"/>
  <c r="P7" i="2"/>
  <c r="O7" i="2"/>
  <c r="O41" i="2" s="1"/>
  <c r="N7" i="2"/>
  <c r="N41" i="2" s="1"/>
  <c r="M7" i="2"/>
  <c r="M41" i="2" s="1"/>
  <c r="L7" i="2"/>
  <c r="K7" i="2"/>
  <c r="K41" i="2" s="1"/>
  <c r="J7" i="2"/>
  <c r="J41" i="2" s="1"/>
  <c r="I7" i="2"/>
  <c r="I41" i="2" s="1"/>
  <c r="H7" i="2"/>
  <c r="G7" i="2"/>
  <c r="G41" i="2" s="1"/>
  <c r="F7" i="2"/>
  <c r="F41" i="2" s="1"/>
  <c r="E7" i="2"/>
  <c r="E41" i="2" s="1"/>
  <c r="S16" i="3" l="1"/>
  <c r="J46" i="2"/>
  <c r="J47" i="2" s="1"/>
  <c r="K46" i="2" s="1"/>
  <c r="S19" i="3"/>
  <c r="L42" i="2"/>
  <c r="T42" i="2"/>
  <c r="I36" i="2"/>
  <c r="Q36" i="2"/>
  <c r="F37" i="2"/>
  <c r="R37" i="2"/>
  <c r="Q27" i="3"/>
  <c r="Q31" i="3"/>
  <c r="Q35" i="3"/>
  <c r="J52" i="2"/>
  <c r="D68" i="2"/>
  <c r="H42" i="2"/>
  <c r="P42" i="2"/>
  <c r="E36" i="2"/>
  <c r="M36" i="2"/>
  <c r="U36" i="2"/>
  <c r="J37" i="2"/>
  <c r="N37" i="2"/>
  <c r="V37" i="2"/>
  <c r="Q22" i="3"/>
  <c r="H41" i="2"/>
  <c r="L41" i="2"/>
  <c r="P41" i="2"/>
  <c r="T41" i="2"/>
  <c r="E42" i="2"/>
  <c r="I42" i="2"/>
  <c r="M42" i="2"/>
  <c r="Q42" i="2"/>
  <c r="U42" i="2"/>
  <c r="F36" i="2"/>
  <c r="J36" i="2"/>
  <c r="J48" i="2" s="1"/>
  <c r="N36" i="2"/>
  <c r="R36" i="2"/>
  <c r="V36" i="2"/>
  <c r="G37" i="2"/>
  <c r="K37" i="2"/>
  <c r="O37" i="2"/>
  <c r="S37" i="2"/>
  <c r="W37" i="2"/>
  <c r="J57" i="2"/>
  <c r="J56" i="2"/>
  <c r="J58" i="2" s="1"/>
  <c r="Q10" i="3"/>
  <c r="S12" i="3"/>
  <c r="Q13" i="3"/>
  <c r="Q16" i="3"/>
  <c r="Q19" i="3"/>
  <c r="S22" i="3"/>
  <c r="Q24" i="3"/>
  <c r="S27" i="3"/>
  <c r="Q28" i="3"/>
  <c r="S31" i="3"/>
  <c r="Q32" i="3"/>
  <c r="S35" i="3"/>
  <c r="S36" i="3"/>
  <c r="S37" i="3"/>
  <c r="S38" i="3"/>
  <c r="J53" i="2"/>
  <c r="E63" i="2"/>
  <c r="K52" i="2"/>
  <c r="K51" i="2"/>
  <c r="K53" i="2" s="1"/>
  <c r="E61" i="2"/>
  <c r="E62" i="2" s="1"/>
  <c r="E66" i="2"/>
  <c r="E67" i="2" s="1"/>
  <c r="D63" i="2"/>
  <c r="K56" i="2"/>
  <c r="K57" i="2" s="1"/>
  <c r="D5" i="3"/>
  <c r="C5" i="3" s="1"/>
  <c r="N11" i="3"/>
  <c r="P11" i="3"/>
  <c r="V13" i="3"/>
  <c r="T13" i="3"/>
  <c r="U13" i="3"/>
  <c r="N15" i="3"/>
  <c r="P15" i="3"/>
  <c r="V17" i="3"/>
  <c r="T17" i="3"/>
  <c r="U17" i="3"/>
  <c r="N10" i="3"/>
  <c r="P10" i="3"/>
  <c r="V12" i="3"/>
  <c r="T12" i="3"/>
  <c r="U12" i="3"/>
  <c r="N14" i="3"/>
  <c r="P14" i="3"/>
  <c r="V16" i="3"/>
  <c r="T16" i="3"/>
  <c r="U16" i="3"/>
  <c r="N18" i="3"/>
  <c r="P18" i="3"/>
  <c r="V11" i="3"/>
  <c r="T11" i="3"/>
  <c r="U11" i="3"/>
  <c r="N13" i="3"/>
  <c r="P13" i="3"/>
  <c r="V15" i="3"/>
  <c r="T15" i="3"/>
  <c r="U15" i="3"/>
  <c r="N17" i="3"/>
  <c r="P17" i="3"/>
  <c r="V10" i="3"/>
  <c r="T10" i="3"/>
  <c r="U10" i="3"/>
  <c r="O11" i="3"/>
  <c r="N12" i="3"/>
  <c r="P12" i="3"/>
  <c r="V14" i="3"/>
  <c r="T14" i="3"/>
  <c r="U14" i="3"/>
  <c r="O15" i="3"/>
  <c r="N16" i="3"/>
  <c r="P16" i="3"/>
  <c r="V18" i="3"/>
  <c r="U18" i="3"/>
  <c r="T18" i="3"/>
  <c r="N19" i="3"/>
  <c r="P19" i="3"/>
  <c r="O20" i="3"/>
  <c r="O21" i="3"/>
  <c r="O22" i="3"/>
  <c r="O24" i="3"/>
  <c r="O25" i="3"/>
  <c r="O26" i="3"/>
  <c r="O27" i="3"/>
  <c r="O28" i="3"/>
  <c r="O29" i="3"/>
  <c r="O30" i="3"/>
  <c r="O31" i="3"/>
  <c r="O32" i="3"/>
  <c r="O33" i="3"/>
  <c r="O34" i="3"/>
  <c r="O35" i="3"/>
  <c r="O36" i="3"/>
  <c r="O37" i="3"/>
  <c r="O38" i="3"/>
  <c r="T19" i="3"/>
  <c r="P20" i="3"/>
  <c r="T20" i="3"/>
  <c r="P21" i="3"/>
  <c r="T21" i="3"/>
  <c r="P22" i="3"/>
  <c r="T22" i="3"/>
  <c r="P24" i="3"/>
  <c r="T24" i="3"/>
  <c r="P25" i="3"/>
  <c r="T25" i="3"/>
  <c r="P26" i="3"/>
  <c r="T26" i="3"/>
  <c r="P27" i="3"/>
  <c r="T27" i="3"/>
  <c r="P28" i="3"/>
  <c r="T28" i="3"/>
  <c r="P29" i="3"/>
  <c r="T29" i="3"/>
  <c r="P30" i="3"/>
  <c r="T30" i="3"/>
  <c r="P31" i="3"/>
  <c r="T31" i="3"/>
  <c r="P32" i="3"/>
  <c r="T32" i="3"/>
  <c r="P33" i="3"/>
  <c r="T33" i="3"/>
  <c r="P34" i="3"/>
  <c r="T34" i="3"/>
  <c r="P35" i="3"/>
  <c r="T35" i="3"/>
  <c r="P36" i="3"/>
  <c r="T36" i="3"/>
  <c r="P37" i="3"/>
  <c r="T37" i="3"/>
  <c r="P38" i="3"/>
  <c r="T38" i="3"/>
  <c r="U19" i="3"/>
  <c r="U20" i="3"/>
  <c r="U21" i="3"/>
  <c r="U22" i="3"/>
  <c r="U24" i="3"/>
  <c r="U25" i="3"/>
  <c r="U26" i="3"/>
  <c r="U27" i="3"/>
  <c r="U28" i="3"/>
  <c r="U29" i="3"/>
  <c r="U30" i="3"/>
  <c r="U31" i="3"/>
  <c r="U32" i="3"/>
  <c r="U33" i="3"/>
  <c r="U34" i="3"/>
  <c r="U35" i="3"/>
  <c r="Q36" i="3"/>
  <c r="U36" i="3"/>
  <c r="Q37" i="3"/>
  <c r="U37" i="3"/>
  <c r="Q38" i="3"/>
  <c r="U38" i="3"/>
  <c r="K47" i="2" l="1"/>
  <c r="K48" i="2"/>
  <c r="F66" i="2"/>
  <c r="F68" i="2" s="1"/>
  <c r="L56" i="2"/>
  <c r="L58" i="2" s="1"/>
  <c r="L46" i="2"/>
  <c r="L48" i="2" s="1"/>
  <c r="F61" i="2"/>
  <c r="F63" i="2" s="1"/>
  <c r="L51" i="2"/>
  <c r="L53" i="2" s="1"/>
  <c r="K58" i="2"/>
  <c r="E68" i="2"/>
  <c r="E4" i="3"/>
  <c r="E2" i="3"/>
  <c r="E3" i="3"/>
  <c r="L52" i="2" l="1"/>
  <c r="F62" i="2"/>
  <c r="L57" i="2"/>
  <c r="M51" i="2"/>
  <c r="M53" i="2" s="1"/>
  <c r="L47" i="2"/>
  <c r="F67" i="2"/>
  <c r="M46" i="2" l="1"/>
  <c r="M48" i="2" s="1"/>
  <c r="G61" i="2"/>
  <c r="G63" i="2" s="1"/>
  <c r="M52" i="2"/>
  <c r="G66" i="2"/>
  <c r="G68" i="2" s="1"/>
  <c r="M56" i="2"/>
  <c r="M58" i="2" s="1"/>
  <c r="G67" i="2" l="1"/>
  <c r="N51" i="2"/>
  <c r="N53" i="2" s="1"/>
  <c r="M47" i="2"/>
  <c r="M57" i="2"/>
  <c r="G62" i="2"/>
  <c r="N52" i="2" l="1"/>
  <c r="H61" i="2"/>
  <c r="H63" i="2" s="1"/>
  <c r="H62" i="2"/>
  <c r="N57" i="2"/>
  <c r="N56" i="2"/>
  <c r="N58" i="2" s="1"/>
  <c r="O51" i="2"/>
  <c r="O53" i="2" s="1"/>
  <c r="N47" i="2"/>
  <c r="N46" i="2"/>
  <c r="N48" i="2" s="1"/>
  <c r="H66" i="2"/>
  <c r="H68" i="2" s="1"/>
  <c r="H67" i="2"/>
  <c r="O46" i="2" l="1"/>
  <c r="O48" i="2" s="1"/>
  <c r="O56" i="2"/>
  <c r="O58" i="2" s="1"/>
  <c r="O52" i="2"/>
  <c r="I61" i="2"/>
  <c r="I63" i="2" s="1"/>
  <c r="I66" i="2"/>
  <c r="I68" i="2" s="1"/>
  <c r="O57" i="2" l="1"/>
  <c r="I62" i="2"/>
  <c r="I67" i="2"/>
  <c r="P52" i="2"/>
  <c r="P51" i="2"/>
  <c r="P53" i="2" s="1"/>
  <c r="O47" i="2"/>
  <c r="G83" i="5" l="1"/>
  <c r="G130" i="5" s="1"/>
  <c r="Q51" i="2"/>
  <c r="Q53" i="2" s="1"/>
  <c r="J66" i="2"/>
  <c r="J68" i="2" s="1"/>
  <c r="J61" i="2"/>
  <c r="J63" i="2" s="1"/>
  <c r="P46" i="2"/>
  <c r="P48" i="2" s="1"/>
  <c r="P56" i="2"/>
  <c r="P58" i="2" s="1"/>
  <c r="P47" i="2" l="1"/>
  <c r="J67" i="2"/>
  <c r="P57" i="2"/>
  <c r="J62" i="2"/>
  <c r="Q52" i="2"/>
  <c r="K61" i="2" l="1"/>
  <c r="K63" i="2" s="1"/>
  <c r="K62" i="2"/>
  <c r="Q56" i="2"/>
  <c r="Q58" i="2" s="1"/>
  <c r="K67" i="2"/>
  <c r="K66" i="2"/>
  <c r="K68" i="2" s="1"/>
  <c r="R51" i="2"/>
  <c r="R53" i="2" s="1"/>
  <c r="Q46" i="2"/>
  <c r="Q48" i="2" s="1"/>
  <c r="R52" i="2" l="1"/>
  <c r="Q57" i="2"/>
  <c r="L61" i="2"/>
  <c r="L63" i="2" s="1"/>
  <c r="L62" i="2"/>
  <c r="Q47" i="2"/>
  <c r="L66" i="2"/>
  <c r="L68" i="2" s="1"/>
  <c r="M61" i="2" l="1"/>
  <c r="M63" i="2" s="1"/>
  <c r="L67" i="2"/>
  <c r="R56" i="2"/>
  <c r="R58" i="2" s="1"/>
  <c r="R46" i="2"/>
  <c r="R48" i="2" s="1"/>
  <c r="S51" i="2"/>
  <c r="S53" i="2" s="1"/>
  <c r="W53" i="2" s="1"/>
  <c r="R47" i="2" l="1"/>
  <c r="M66" i="2"/>
  <c r="M68" i="2" s="1"/>
  <c r="M67" i="2"/>
  <c r="S52" i="2"/>
  <c r="R57" i="2"/>
  <c r="M62" i="2"/>
  <c r="N66" i="2" l="1"/>
  <c r="N68" i="2" s="1"/>
  <c r="S56" i="2"/>
  <c r="S58" i="2" s="1"/>
  <c r="N61" i="2"/>
  <c r="N63" i="2" s="1"/>
  <c r="T52" i="2"/>
  <c r="T51" i="2"/>
  <c r="T53" i="2" s="1"/>
  <c r="S46" i="2"/>
  <c r="S48" i="2" s="1"/>
  <c r="W48" i="2" s="1"/>
  <c r="W58" i="2" l="1"/>
  <c r="B28" i="4" s="1"/>
  <c r="U51" i="2"/>
  <c r="U53" i="2" s="1"/>
  <c r="S57" i="2"/>
  <c r="S47" i="2"/>
  <c r="N62" i="2"/>
  <c r="N67" i="2"/>
  <c r="B29" i="4" l="1"/>
  <c r="B31" i="4"/>
  <c r="B30" i="4"/>
  <c r="E107" i="5"/>
  <c r="Y58" i="2"/>
  <c r="T56" i="2"/>
  <c r="T58" i="2" s="1"/>
  <c r="O66" i="2"/>
  <c r="O68" i="2" s="1"/>
  <c r="O61" i="2"/>
  <c r="O63" i="2" s="1"/>
  <c r="T46" i="2"/>
  <c r="T48" i="2" s="1"/>
  <c r="U52" i="2"/>
  <c r="F116" i="5" l="1"/>
  <c r="F115" i="5"/>
  <c r="F114" i="5"/>
  <c r="F120" i="5"/>
  <c r="F121" i="5"/>
  <c r="F119" i="5"/>
  <c r="F111" i="5"/>
  <c r="F113" i="5"/>
  <c r="F117" i="5"/>
  <c r="F110" i="5"/>
  <c r="F112" i="5"/>
  <c r="F118" i="5"/>
  <c r="O62" i="2"/>
  <c r="T47" i="2"/>
  <c r="O67" i="2"/>
  <c r="P61" i="2"/>
  <c r="P63" i="2" s="1"/>
  <c r="T57" i="2"/>
  <c r="G123" i="5" l="1"/>
  <c r="G131" i="5" s="1"/>
  <c r="G132" i="5" s="1"/>
  <c r="P66" i="2"/>
  <c r="P68" i="2" s="1"/>
  <c r="P67" i="2"/>
  <c r="U56" i="2"/>
  <c r="U58" i="2" s="1"/>
  <c r="U46" i="2"/>
  <c r="U48" i="2" s="1"/>
  <c r="P62" i="2"/>
  <c r="Q61" i="2" l="1"/>
  <c r="Q63" i="2" s="1"/>
  <c r="U57" i="2"/>
  <c r="Q66" i="2"/>
  <c r="Q68" i="2" s="1"/>
  <c r="U47" i="2"/>
  <c r="Q67" i="2" l="1"/>
  <c r="Q62" i="2"/>
  <c r="R61" i="2" l="1"/>
  <c r="R63" i="2" s="1"/>
  <c r="R66" i="2"/>
  <c r="R68" i="2" s="1"/>
  <c r="R67" i="2" l="1"/>
  <c r="R62" i="2"/>
  <c r="S61" i="2" l="1"/>
  <c r="S63" i="2" s="1"/>
  <c r="W63" i="2" s="1"/>
  <c r="B32" i="4" s="1"/>
  <c r="S66" i="2"/>
  <c r="S68" i="2" s="1"/>
  <c r="W68" i="2" s="1"/>
  <c r="B36" i="4" s="1"/>
  <c r="B39" i="4" l="1"/>
  <c r="B37" i="4"/>
  <c r="B38" i="4"/>
  <c r="B35" i="4"/>
  <c r="B34" i="4"/>
  <c r="B33" i="4"/>
  <c r="S67" i="2"/>
  <c r="S62" i="2"/>
  <c r="T61" i="2" l="1"/>
  <c r="T63" i="2" s="1"/>
  <c r="T62" i="2"/>
  <c r="T66" i="2"/>
  <c r="T68" i="2" s="1"/>
  <c r="T67" i="2"/>
  <c r="U66" i="2" l="1"/>
  <c r="U68" i="2" s="1"/>
  <c r="U61" i="2"/>
  <c r="U63" i="2" s="1"/>
  <c r="U62" i="2" l="1"/>
  <c r="U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tc={FD34A0EB-B07F-496E-BD19-B598CD113A5D}</author>
    <author>tc={C822F678-0280-457C-B851-F5033D3ACACA}</author>
    <author>tc={23009157-E6C2-4BDA-9792-2E8100F3DE6C}</author>
    <author>tc={DF6F7CFF-9C46-4948-8C93-2C7F981B55A8}</author>
    <author>tc={2CC0E97E-31A2-4A12-9182-F60FA4256F0E}</author>
    <author>tc={CEE4C7BE-6A32-45C7-9BEE-28E281A790B5}</author>
    <author>tc={7A2C55BF-F030-412B-806D-866A578A52C6}</author>
    <author>tc={FF7B9182-DFB8-4366-A100-E5372BB43CDC}</author>
    <author>tc={6214AEFA-096C-408B-BF0D-8A015C9F4274}</author>
    <author>tc={E680D3C8-2F92-437B-BA05-B579D5D38AD8}</author>
  </authors>
  <commentList>
    <comment ref="E10" authorId="0" shapeId="0" xr:uid="{FD34A0EB-B07F-496E-BD19-B598CD113A5D}">
      <text>
        <t>[Threaded comment]
Your version of Excel allows you to read this threaded comment; however, any edits to it will get removed if the file is opened in a newer version of Excel. Learn more: https://go.microsoft.com/fwlink/?linkid=870924
Comment:
    Choose asbestos type.</t>
      </text>
    </comment>
    <comment ref="E11" authorId="1" shapeId="0" xr:uid="{C822F678-0280-457C-B851-F5033D3ACACA}">
      <text>
        <t>[Threaded comment]
Your version of Excel allows you to read this threaded comment; however, any edits to it will get removed if the file is opened in a newer version of Excel. Learn more: https://go.microsoft.com/fwlink/?linkid=870924
Comment:
    Choose model type.  Recommended choice for mesothelioma is the linear model.</t>
      </text>
    </comment>
    <comment ref="E12" authorId="2" shapeId="0" xr:uid="{23009157-E6C2-4BDA-9792-2E8100F3DE6C}">
      <text>
        <t>[Threaded comment]
Your version of Excel allows you to read this threaded comment; however, any edits to it will get removed if the file is opened in a newer version of Excel. Learn more: https://go.microsoft.com/fwlink/?linkid=870924
Comment:
    Choose model type.  Recommended choice is the non-linear model for lung cancer.</t>
      </text>
    </comment>
    <comment ref="E13" authorId="3" shapeId="0" xr:uid="{DF6F7CFF-9C46-4948-8C93-2C7F981B55A8}">
      <text>
        <t>[Threaded comment]
Your version of Excel allows you to read this threaded comment; however, any edits to it will get removed if the file is opened in a newer version of Excel. Learn more: https://go.microsoft.com/fwlink/?linkid=870924
Comment:
    Choose population.  Recommended default is "All - population average".</t>
      </text>
    </comment>
    <comment ref="E14" authorId="4" shapeId="0" xr:uid="{2CC0E97E-31A2-4A12-9182-F60FA4256F0E}">
      <text>
        <t>[Threaded comment]
Your version of Excel allows you to read this threaded comment; however, any edits to it will get removed if the file is opened in a newer version of Excel. Learn more: https://go.microsoft.com/fwlink/?linkid=870924
Comment:
    Choose expected lifetime.  Recommended default is 80 yrs.</t>
      </text>
    </comment>
    <comment ref="E15" authorId="5" shapeId="0" xr:uid="{CEE4C7BE-6A32-45C7-9BEE-28E281A790B5}">
      <text>
        <t>[Threaded comment]
Your version of Excel allows you to read this threaded comment; however, any edits to it will get removed if the file is opened in a newer version of Excel. Learn more: https://go.microsoft.com/fwlink/?linkid=870924
Comment:
    Choose age adjustment.  Recommended default is the latency option.</t>
      </text>
    </comment>
    <comment ref="E22" authorId="6" shapeId="0" xr:uid="{7A2C55BF-F030-412B-806D-866A578A52C6}">
      <text>
        <t>[Threaded comment]
Your version of Excel allows you to read this threaded comment; however, any edits to it will get removed if the file is opened in a newer version of Excel. Learn more: https://go.microsoft.com/fwlink/?linkid=870924
Comment:
    Enter measured or estimated air concentration.</t>
      </text>
    </comment>
    <comment ref="D27" authorId="7" shapeId="0" xr:uid="{FF7B9182-DFB8-4366-A100-E5372BB43CDC}">
      <text>
        <t>[Threaded comment]
Your version of Excel allows you to read this threaded comment; however, any edits to it will get removed if the file is opened in a newer version of Excel. Learn more: https://go.microsoft.com/fwlink/?linkid=870924
Comment:
    Enter a value for each age tranche that you are interested in (consistent with your chosen exposure scenario).  Leave the remainder blank.</t>
      </text>
    </comment>
    <comment ref="E27" authorId="8" shapeId="0" xr:uid="{6214AEFA-096C-408B-BF0D-8A015C9F4274}">
      <text>
        <t>[Threaded comment]
Your version of Excel allows you to read this threaded comment; however, any edits to it will get removed if the file is opened in a newer version of Excel. Learn more: https://go.microsoft.com/fwlink/?linkid=870924
Comment:
    Enter a value for each age tranche of interest (consistent with your chosen exposure sceanario).  Leave the remainder blank.</t>
      </text>
    </comment>
    <comment ref="F27" authorId="9" shapeId="0" xr:uid="{E680D3C8-2F92-437B-BA05-B579D5D38AD8}">
      <text>
        <t>[Threaded comment]
Your version of Excel allows you to read this threaded comment; however, any edits to it will get removed if the file is opened in a newer version of Excel. Learn more: https://go.microsoft.com/fwlink/?linkid=870924
Comment:
    Enter number of years of exposure for each 5 year age tranche.  Maximum is 5 years but can be less if you are looking at a smaller exposure duration</t>
      </text>
    </comment>
  </commentList>
</comments>
</file>

<file path=xl/sharedStrings.xml><?xml version="1.0" encoding="utf-8"?>
<sst xmlns="http://schemas.openxmlformats.org/spreadsheetml/2006/main" count="388" uniqueCount="198">
  <si>
    <t>Apl</t>
  </si>
  <si>
    <t>r</t>
  </si>
  <si>
    <t>Apt</t>
  </si>
  <si>
    <t>t</t>
  </si>
  <si>
    <t>Base risk</t>
  </si>
  <si>
    <t>Linear</t>
  </si>
  <si>
    <t>H&amp;D 2000  Table 8 Best estimate slope (r=0.75, t=2.1)</t>
  </si>
  <si>
    <t>Chrysotile - Linear</t>
  </si>
  <si>
    <t>Chrysotile - Non-Linear</t>
  </si>
  <si>
    <t>Amosite - Non-Linear</t>
  </si>
  <si>
    <t>Amosite - Linear</t>
  </si>
  <si>
    <t>Linear reference</t>
  </si>
  <si>
    <t>Non-Linear reference</t>
  </si>
  <si>
    <t>H&amp;D 2000 p. 584 "Absolute risk estimates can therefore be derived from the PM value for a given exposure by multiplying by a factor of 0.7."</t>
  </si>
  <si>
    <t>Linear model</t>
  </si>
  <si>
    <t>Amosite</t>
  </si>
  <si>
    <t>All cause deaths - England and Wales</t>
  </si>
  <si>
    <t>Aged 0 to 4</t>
  </si>
  <si>
    <t>Aged 5 to 9</t>
  </si>
  <si>
    <t>Aged 10-14</t>
  </si>
  <si>
    <t>Aged 15-19</t>
  </si>
  <si>
    <t>Aged 20-24</t>
  </si>
  <si>
    <t>Aged 25-29</t>
  </si>
  <si>
    <t>Aged 30-34</t>
  </si>
  <si>
    <t>Aged 35-39</t>
  </si>
  <si>
    <t>Aged 40-44</t>
  </si>
  <si>
    <t>Aged 45-49</t>
  </si>
  <si>
    <t>Aged 50-54</t>
  </si>
  <si>
    <t>Aged 55-59</t>
  </si>
  <si>
    <t>Aged 60-64</t>
  </si>
  <si>
    <t>Aged 65-69</t>
  </si>
  <si>
    <t>Aged 70-74</t>
  </si>
  <si>
    <t>Aged 75-79</t>
  </si>
  <si>
    <t>Aged 80-84</t>
  </si>
  <si>
    <t>Aged 85-89</t>
  </si>
  <si>
    <t>Aged 90 and over</t>
  </si>
  <si>
    <t>Column Total</t>
  </si>
  <si>
    <t>Male</t>
  </si>
  <si>
    <t>avg</t>
  </si>
  <si>
    <t>Female</t>
  </si>
  <si>
    <t>Lung cancer deaths - England and Wales</t>
  </si>
  <si>
    <t>Population - E/W</t>
  </si>
  <si>
    <t>Age 0 - 4</t>
  </si>
  <si>
    <t>Aged 5-9</t>
  </si>
  <si>
    <t>Aged 90+</t>
  </si>
  <si>
    <t>All Ages</t>
  </si>
  <si>
    <t>85+</t>
  </si>
  <si>
    <t>Lung cancer proportional mortality</t>
  </si>
  <si>
    <t>All persons combined</t>
  </si>
  <si>
    <t>All cause death rate</t>
  </si>
  <si>
    <t>Males</t>
  </si>
  <si>
    <t>Predicted deaths from all causes by age</t>
  </si>
  <si>
    <t>Predicted survivors to each age</t>
  </si>
  <si>
    <t xml:space="preserve">Predicted lung cancers at each age from 1000 individuals aged 30 </t>
  </si>
  <si>
    <t>Females</t>
  </si>
  <si>
    <t>Prev, %</t>
  </si>
  <si>
    <t>RR</t>
  </si>
  <si>
    <t>N</t>
  </si>
  <si>
    <t>Adj</t>
  </si>
  <si>
    <t>Non</t>
  </si>
  <si>
    <t>Ex</t>
  </si>
  <si>
    <t>Current</t>
  </si>
  <si>
    <t>Adj factor</t>
  </si>
  <si>
    <t>All persons</t>
  </si>
  <si>
    <t>Never</t>
  </si>
  <si>
    <t>All - current smokers</t>
  </si>
  <si>
    <t>All - ex-smokers</t>
  </si>
  <si>
    <t>All - never smoker</t>
  </si>
  <si>
    <t>All - population average</t>
  </si>
  <si>
    <t>Men - population average</t>
  </si>
  <si>
    <t>Men - current smokers</t>
  </si>
  <si>
    <t>Men - ex-smokers</t>
  </si>
  <si>
    <t>Men - never smoker</t>
  </si>
  <si>
    <t>Women - population average</t>
  </si>
  <si>
    <t>Women - current smokers</t>
  </si>
  <si>
    <t>Women - ex-smokers</t>
  </si>
  <si>
    <t>Women - never smoker</t>
  </si>
  <si>
    <t>Lung cancer  - Base risk</t>
  </si>
  <si>
    <t>Based on Average 2016-2018 populations statistics</t>
  </si>
  <si>
    <t>Liner model</t>
  </si>
  <si>
    <t>Lung cancer risk</t>
  </si>
  <si>
    <r>
      <t xml:space="preserve">H&amp;D 2000, page 575 "Given that the processing of chrysotile may produce some additional risk, the best estimate should be set higher than the mines level, </t>
    </r>
    <r>
      <rPr>
        <b/>
        <sz val="8"/>
        <color theme="1"/>
        <rFont val="Calibri"/>
        <family val="2"/>
        <scheme val="minor"/>
      </rPr>
      <t>say at 0.1% per f/ml.yr</t>
    </r>
    <r>
      <rPr>
        <sz val="8"/>
        <color theme="1"/>
        <rFont val="Calibri"/>
        <family val="2"/>
        <scheme val="minor"/>
      </rPr>
      <t>. The overall risk, of a mixture of 96% chrysotile with a risk of 0.1, and 4% amphibole with a risk of 5.1 would be 0.3% per f/ml.yr."</t>
    </r>
  </si>
  <si>
    <t>Al</t>
  </si>
  <si>
    <t>H&amp;D 2000  Table 10 Best (r=1.3)</t>
  </si>
  <si>
    <t>Age</t>
  </si>
  <si>
    <t>0-5</t>
  </si>
  <si>
    <t>5-10</t>
  </si>
  <si>
    <t>10-15</t>
  </si>
  <si>
    <t>15-20</t>
  </si>
  <si>
    <t>20-25</t>
  </si>
  <si>
    <t>25-30</t>
  </si>
  <si>
    <t>30-35</t>
  </si>
  <si>
    <t>35-40</t>
  </si>
  <si>
    <t>40-45</t>
  </si>
  <si>
    <t>45-50</t>
  </si>
  <si>
    <t>50-55</t>
  </si>
  <si>
    <t>55-60</t>
  </si>
  <si>
    <t>Lifetime 60 years</t>
  </si>
  <si>
    <t>Age Adjustment factors</t>
  </si>
  <si>
    <t>Estimated coefficients  for constants in the risk prediction equation for PL for chosen levels of the slope coefficient r</t>
  </si>
  <si>
    <t>Calculation Sheet for risk from cumulative exposure to asbestos in air</t>
  </si>
  <si>
    <t>Concentration in air</t>
  </si>
  <si>
    <t>Chrysotile</t>
  </si>
  <si>
    <t>f/ml</t>
  </si>
  <si>
    <t>Exposure over five year tranches</t>
  </si>
  <si>
    <t xml:space="preserve">Exposure time hrs per year </t>
  </si>
  <si>
    <t>Days per year</t>
  </si>
  <si>
    <t>Hours per day</t>
  </si>
  <si>
    <t>Years (Actual)</t>
  </si>
  <si>
    <t>X - Cumulative exposure in f/ml.yr</t>
  </si>
  <si>
    <t>Mesothelioma Risk</t>
  </si>
  <si>
    <t>Constant of proportionality for Pleural risk</t>
  </si>
  <si>
    <t>Constant of proportionality for peritoneal risk</t>
  </si>
  <si>
    <t>X</t>
  </si>
  <si>
    <t>Cumulative exposure in f/ml.yr</t>
  </si>
  <si>
    <t>Pleural slope of exposure response (on a log-log scale)</t>
  </si>
  <si>
    <t>Peritoneal slope of exposure response (on a log-log scale)</t>
  </si>
  <si>
    <t xml:space="preserve">Risk estimate based on a 30 year old worker exposed for a five year period with cumulative exposure above.  </t>
  </si>
  <si>
    <t>Best Estimate</t>
  </si>
  <si>
    <t>Risk</t>
  </si>
  <si>
    <t>Cumulative risk</t>
  </si>
  <si>
    <t>Lung Cancer</t>
  </si>
  <si>
    <t>Percentage excess of expected lung cancer mortality</t>
  </si>
  <si>
    <t>Constant of proportionality for lung cancer risk</t>
  </si>
  <si>
    <t>Lung cancer slope of exposure response (on a log-log scale)</t>
  </si>
  <si>
    <t>Risk from Mesothelioma</t>
  </si>
  <si>
    <t>Risk from Lung Cancer</t>
  </si>
  <si>
    <t>Lung cancer model</t>
  </si>
  <si>
    <t>Lung cancer base risk population</t>
  </si>
  <si>
    <t>Estimated coefficients in the risk prediction equation for PM for linear and  best case non-linear</t>
  </si>
  <si>
    <t>Non-Linear</t>
  </si>
  <si>
    <t>Asbestos type</t>
  </si>
  <si>
    <t>Model type</t>
  </si>
  <si>
    <t>Reference</t>
  </si>
  <si>
    <t>Receptor expected lifetime</t>
  </si>
  <si>
    <t>TOTAL</t>
  </si>
  <si>
    <t>Cumulative lifetime Risk Estimate</t>
  </si>
  <si>
    <t>Based on Average 2016-2018 populations statistics adjusted for population characteristics from 2014</t>
  </si>
  <si>
    <t>Mesothelioma</t>
  </si>
  <si>
    <t>Lung cancer</t>
  </si>
  <si>
    <t>No age adjustment</t>
  </si>
  <si>
    <t>Age adjustment</t>
  </si>
  <si>
    <t>Risk (age adjusted)</t>
  </si>
  <si>
    <t>the expected mortality from all causes adjusted to an age at start of exposure of 30.</t>
  </si>
  <si>
    <t xml:space="preserve">the observed meso deaths </t>
  </si>
  <si>
    <t>Expected mortality from all causes adjusted to an age at start of exposure of 30</t>
  </si>
  <si>
    <t>f/ml.yr</t>
  </si>
  <si>
    <t>X- Cumulative exposure in f/ml.yr =Concentration in air x Exposure time hrs per year x Time period /2000 (hrs in an occupational year) to top of age group</t>
  </si>
  <si>
    <t>r_lung</t>
  </si>
  <si>
    <t>r_meso</t>
  </si>
  <si>
    <t>Age adjustment based on Latency</t>
  </si>
  <si>
    <t>hrs/year</t>
  </si>
  <si>
    <t>Lung cancer age adjustment</t>
  </si>
  <si>
    <t>Assumes exposure to constant average asbestos exposure</t>
  </si>
  <si>
    <t>Percent excess mortality from Mesothelioma (in percent)</t>
  </si>
  <si>
    <t>Proportion of the specific population that will  die of lung cancer between age 40-79</t>
  </si>
  <si>
    <t>Age adjustment reference</t>
  </si>
  <si>
    <t>Mesothelioma model</t>
  </si>
  <si>
    <t>Crocidolite - Non-Linear</t>
  </si>
  <si>
    <t>Crocidolite - Linear</t>
  </si>
  <si>
    <t xml:space="preserve">H&amp;D 2000  Table 1  Mesothelioma risk expressed as percentage total expected mortality per f/ml.yr - Adjusted for age at first exposure. </t>
  </si>
  <si>
    <t>Crocidolite</t>
  </si>
  <si>
    <t xml:space="preserve">Mesothelioma risk </t>
  </si>
  <si>
    <t xml:space="preserve">CIRIA C733 (for 60 years) </t>
  </si>
  <si>
    <t>Proportion of the specific population that will die of lung cancer between age 40-79</t>
  </si>
  <si>
    <t>Lifetime 80 years</t>
  </si>
  <si>
    <t>Lifetime 90 years</t>
  </si>
  <si>
    <t xml:space="preserve">Developing risk estimates consistent with Table 11 for extended exposures, Hodgson and Darnton 2000 </t>
  </si>
  <si>
    <t>Notes:</t>
  </si>
  <si>
    <t>Default parameters</t>
  </si>
  <si>
    <t>Exposure over each 5 year tranche (Includes adjustment to occupational years (equal to 2000hrs of exposure per year))</t>
  </si>
  <si>
    <r>
      <t>O</t>
    </r>
    <r>
      <rPr>
        <i/>
        <vertAlign val="subscript"/>
        <sz val="11"/>
        <color theme="1"/>
        <rFont val="Calibri"/>
        <family val="2"/>
        <scheme val="minor"/>
      </rPr>
      <t>M</t>
    </r>
  </si>
  <si>
    <r>
      <rPr>
        <i/>
        <sz val="11"/>
        <color theme="1"/>
        <rFont val="Calibri"/>
        <family val="2"/>
        <scheme val="minor"/>
      </rPr>
      <t>E</t>
    </r>
    <r>
      <rPr>
        <i/>
        <vertAlign val="subscript"/>
        <sz val="11"/>
        <color theme="1"/>
        <rFont val="Calibri"/>
        <family val="2"/>
        <scheme val="minor"/>
      </rPr>
      <t>adj</t>
    </r>
  </si>
  <si>
    <t xml:space="preserve">Reference:  Developing risk estimates consistent with Table 11 for extended exposures, Hodgson and Darnton 2000 </t>
  </si>
  <si>
    <r>
      <t>A</t>
    </r>
    <r>
      <rPr>
        <vertAlign val="subscript"/>
        <sz val="11"/>
        <rFont val="Calibri"/>
        <family val="2"/>
        <scheme val="minor"/>
      </rPr>
      <t>pl</t>
    </r>
  </si>
  <si>
    <r>
      <t>A</t>
    </r>
    <r>
      <rPr>
        <vertAlign val="subscript"/>
        <sz val="11"/>
        <rFont val="Calibri"/>
        <family val="2"/>
        <scheme val="minor"/>
      </rPr>
      <t>pr</t>
    </r>
  </si>
  <si>
    <r>
      <t>P</t>
    </r>
    <r>
      <rPr>
        <vertAlign val="subscript"/>
        <sz val="11"/>
        <color theme="1"/>
        <rFont val="Calibri"/>
        <family val="2"/>
        <scheme val="minor"/>
      </rPr>
      <t>M</t>
    </r>
    <r>
      <rPr>
        <sz val="11"/>
        <color theme="1"/>
        <rFont val="Calibri"/>
        <family val="2"/>
        <scheme val="minor"/>
      </rPr>
      <t xml:space="preserve"> (%)*</t>
    </r>
  </si>
  <si>
    <t xml:space="preserve">* To get the contribution to the risk for the second period alone the risk due to the cumulative dose from the first period is subtracted... and so on.   Developing risk estimates consistent with Table 11 for extended periods, Hodgson and Darnton 2000 </t>
  </si>
  <si>
    <t>WATCH 2010 -2 Annex 3 - Contribution from a WATCH member following the February 2010 WATCH meeting (for 90 years). CIRIA C733 used for adjustment for ages 35+.</t>
  </si>
  <si>
    <t>WATCH 2010 -2 Annex 3 - Contribution from a WATCH member following the February 2010 WATCH meeting (for 80 years).  CIRIA C733 used for adjustment for ages 35+</t>
  </si>
  <si>
    <r>
      <t>A</t>
    </r>
    <r>
      <rPr>
        <vertAlign val="subscript"/>
        <sz val="11"/>
        <color theme="1"/>
        <rFont val="Calibri"/>
        <family val="2"/>
        <scheme val="minor"/>
      </rPr>
      <t>L</t>
    </r>
  </si>
  <si>
    <r>
      <t>P</t>
    </r>
    <r>
      <rPr>
        <i/>
        <vertAlign val="subscript"/>
        <sz val="11"/>
        <color theme="1"/>
        <rFont val="Calibri"/>
        <family val="2"/>
        <scheme val="minor"/>
      </rPr>
      <t>M</t>
    </r>
  </si>
  <si>
    <r>
      <t>A</t>
    </r>
    <r>
      <rPr>
        <i/>
        <vertAlign val="subscript"/>
        <sz val="11"/>
        <color theme="1"/>
        <rFont val="Calibri"/>
        <family val="2"/>
        <scheme val="minor"/>
      </rPr>
      <t>pl</t>
    </r>
  </si>
  <si>
    <r>
      <t>A</t>
    </r>
    <r>
      <rPr>
        <i/>
        <vertAlign val="subscript"/>
        <sz val="11"/>
        <color theme="1"/>
        <rFont val="Calibri"/>
        <family val="2"/>
        <scheme val="minor"/>
      </rPr>
      <t>pr</t>
    </r>
  </si>
  <si>
    <r>
      <t>P</t>
    </r>
    <r>
      <rPr>
        <i/>
        <vertAlign val="subscript"/>
        <sz val="11"/>
        <color theme="1"/>
        <rFont val="Calibri"/>
        <family val="2"/>
        <scheme val="minor"/>
      </rPr>
      <t>L</t>
    </r>
  </si>
  <si>
    <r>
      <t>A</t>
    </r>
    <r>
      <rPr>
        <i/>
        <vertAlign val="subscript"/>
        <sz val="11"/>
        <color theme="1"/>
        <rFont val="Calibri"/>
        <family val="2"/>
        <scheme val="minor"/>
      </rPr>
      <t>L</t>
    </r>
  </si>
  <si>
    <r>
      <t>E</t>
    </r>
    <r>
      <rPr>
        <i/>
        <vertAlign val="subscript"/>
        <sz val="11"/>
        <color theme="1"/>
        <rFont val="Calibri"/>
        <family val="2"/>
        <scheme val="minor"/>
      </rPr>
      <t>L</t>
    </r>
  </si>
  <si>
    <r>
      <t>P</t>
    </r>
    <r>
      <rPr>
        <vertAlign val="subscript"/>
        <sz val="11"/>
        <color theme="1"/>
        <rFont val="Calibri"/>
        <family val="2"/>
        <scheme val="minor"/>
      </rPr>
      <t>L</t>
    </r>
    <r>
      <rPr>
        <sz val="11"/>
        <color theme="1"/>
        <rFont val="Calibri"/>
        <family val="2"/>
        <scheme val="minor"/>
      </rPr>
      <t xml:space="preserve"> (%)</t>
    </r>
  </si>
  <si>
    <t>Limitations</t>
  </si>
  <si>
    <t>Feedback on this spreadsheet is welcome and should be sent to info@sobra.org.uk</t>
  </si>
  <si>
    <t>Page 1 of 2</t>
  </si>
  <si>
    <t>Page 2 of 2</t>
  </si>
  <si>
    <t>Exposure</t>
  </si>
  <si>
    <t xml:space="preserve">This spreadsheet is offered as a free available resource by SoBRA to improve the consistency in, and adoption of , the use of the Hodgson and Darnton algorithms for estimating lifetime cancer risk for low level environmental exposures to airborne asbestos fibres.  It has been developed by members of the SoBRA Asbestos-in-soil sub-group acting in a voluntary capacity, and constitutes the work of the individual authors, not those of their employers.     Users of this spreadsheet must satisfy themselves that the content is appropriate for the intended use and no guarantee of suitability is made.   </t>
  </si>
  <si>
    <t>Based on The quantitative risks of mesothelioma and lung cancer in relation to asbestos exposure,  John T. Hodgson and  Andrew Darnton,  Ann Occup Hyg (2000) 44 (8): 565-601 , and personal communication with Andrew Darnton</t>
  </si>
  <si>
    <t>This workbook has been developed by and is made freely available as a beta version by SoBRA's Asbestos Subgroup.  It is part of the current workstream of the group, the aim of which is to advocate the understanding and use of good risk assessment practice when it comes to assessing the potential health risk from exposure to asbestos in soil.  SoBRA specifically and gratefully acknowledges the principal author of this spreadsheet - Barry Mitcheson - and the assistance of Andrew Darnton.
The purpose of this workbook is to provide a freely available common approach to calculating the potential mortality risk from exposure to airborne asbestos fibres, based on the epidemiological models published by Hodgson &amp; Darnton in 2000.  Importantly the spreadsheet permits the calculation of mortality risk using either the non-linear or linear versions of the H&amp;D model. Whilst the non-linear model has been the one traditionally used to date in the calculation of risk from exposure to asbestos in soil, it has become evident more recently that for lower exposures (compared to the occupational exposures on which the model is based) the linear model is the more appropriate option for calculating the risk from mesothelioma.  The accompanying SoBRA discussion paper on the calculation of guidelines for asbestos fibres in ambient air (SoBRA, 2021) provides a comparison of the H&amp;D model options together with risk estimates from other international published models.  It is recommended that this paper is read in conjunction with the use of this workbook.  There are other published risk models and methods for estimating health risk from exposure to asbestos.
To use the calculation sheet (entitled "Asbestos Risk") enter the required data or select from the available options in the dropdown lists in the green coloured cells.  Do not alter or attempt to enter data in any other cell.  There are comments added to the data entry cells to guide the user.
 This workbook has been developed by members of the SoBRA Asbestos-in-soil sub-group acting in a voluntary capacity, and is based on the views of the individual members, not those of their employers.    Users of this workbook must satisfy themselves that it is appropriate for the intended use and no guarantee of suitability is made.   
Feedback on this workbook is welcomed and should be submitted to SoBRA at info@sobra.org.uk</t>
  </si>
  <si>
    <t>and should be read in conjunction with SoBRA's Discussion Paper on Guidelines for Airborne Concentrations of Asbestos Fibres in Ambient Air:  Implications for Quantitative Risk Assessment   (SoBRA, 2021)</t>
  </si>
  <si>
    <t>© SoBRA,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</si>
</sst>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E+00"/>
    <numFmt numFmtId="165" formatCode="0.00000"/>
    <numFmt numFmtId="166" formatCode="0.000"/>
  </numFmts>
  <fonts count="26"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name val="Arial"/>
      <family val="2"/>
    </font>
    <font>
      <sz val="11"/>
      <name val="Calibri"/>
      <family val="2"/>
      <scheme val="minor"/>
    </font>
    <font>
      <sz val="8"/>
      <color theme="1"/>
      <name val="Calibri"/>
      <family val="2"/>
      <scheme val="minor"/>
    </font>
    <font>
      <b/>
      <sz val="8"/>
      <color theme="1"/>
      <name val="Calibri"/>
      <family val="2"/>
      <scheme val="minor"/>
    </font>
    <font>
      <sz val="16"/>
      <color theme="1"/>
      <name val="Calibri"/>
      <family val="2"/>
      <scheme val="minor"/>
    </font>
    <font>
      <sz val="20"/>
      <color theme="1"/>
      <name val="Calibri"/>
      <family val="2"/>
      <scheme val="minor"/>
    </font>
    <font>
      <sz val="18"/>
      <color theme="1"/>
      <name val="Calibri"/>
      <family val="2"/>
      <scheme val="minor"/>
    </font>
    <font>
      <sz val="22"/>
      <color theme="1"/>
      <name val="Calibri"/>
      <family val="2"/>
      <scheme val="minor"/>
    </font>
    <font>
      <sz val="36"/>
      <color theme="1"/>
      <name val="Calibri"/>
      <family val="2"/>
      <scheme val="minor"/>
    </font>
    <font>
      <sz val="11"/>
      <color rgb="FF7030A0"/>
      <name val="Calibri"/>
      <family val="2"/>
      <scheme val="minor"/>
    </font>
    <font>
      <sz val="11"/>
      <color rgb="FF000000"/>
      <name val="Calibri"/>
      <family val="2"/>
      <scheme val="minor"/>
    </font>
    <font>
      <sz val="8"/>
      <color theme="1"/>
      <name val="Arial"/>
      <family val="2"/>
    </font>
    <font>
      <sz val="8"/>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vertAlign val="subscript"/>
      <sz val="11"/>
      <color theme="1"/>
      <name val="Calibri"/>
      <family val="2"/>
      <scheme val="minor"/>
    </font>
    <font>
      <i/>
      <sz val="11"/>
      <color theme="1"/>
      <name val="Calibri"/>
      <family val="2"/>
      <scheme val="minor"/>
    </font>
    <font>
      <i/>
      <vertAlign val="subscript"/>
      <sz val="11"/>
      <color theme="1"/>
      <name val="Calibri"/>
      <family val="2"/>
      <scheme val="minor"/>
    </font>
    <font>
      <vertAlign val="subscript"/>
      <sz val="11"/>
      <name val="Calibri"/>
      <family val="2"/>
      <scheme val="minor"/>
    </font>
    <font>
      <u/>
      <sz val="11"/>
      <color theme="1"/>
      <name val="Calibri"/>
      <family val="2"/>
      <scheme val="minor"/>
    </font>
  </fonts>
  <fills count="9">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5"/>
        <bgColor indexed="64"/>
      </patternFill>
    </fill>
    <fill>
      <patternFill patternType="solid">
        <fgColor theme="9" tint="0.39997558519241921"/>
        <bgColor indexed="64"/>
      </patternFill>
    </fill>
  </fills>
  <borders count="2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15" fillId="0" borderId="0"/>
  </cellStyleXfs>
  <cellXfs count="209">
    <xf numFmtId="0" fontId="0" fillId="0" borderId="0" xfId="0"/>
    <xf numFmtId="0" fontId="7" fillId="0" borderId="0" xfId="0" applyFont="1" applyAlignment="1">
      <alignment horizontal="left" vertical="center" wrapText="1"/>
    </xf>
    <xf numFmtId="0" fontId="0" fillId="0" borderId="0" xfId="0"/>
    <xf numFmtId="0" fontId="3" fillId="0" borderId="0" xfId="0" applyFont="1"/>
    <xf numFmtId="0" fontId="0" fillId="3" borderId="0" xfId="0" applyFill="1"/>
    <xf numFmtId="0" fontId="4"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NumberFormat="1" applyFont="1" applyAlignment="1">
      <alignment horizontal="left" vertical="top"/>
    </xf>
    <xf numFmtId="3" fontId="4" fillId="0" borderId="0" xfId="0" applyNumberFormat="1" applyFont="1" applyAlignment="1">
      <alignment horizontal="right" vertical="top"/>
    </xf>
    <xf numFmtId="3" fontId="5" fillId="0" borderId="0" xfId="0" applyNumberFormat="1" applyFont="1" applyAlignment="1">
      <alignment horizontal="right" vertical="center"/>
    </xf>
    <xf numFmtId="3" fontId="0" fillId="0" borderId="0" xfId="0" applyNumberFormat="1"/>
    <xf numFmtId="0" fontId="5" fillId="0" borderId="0" xfId="0" applyNumberFormat="1" applyFont="1" applyAlignment="1">
      <alignment horizontal="left" vertical="top"/>
    </xf>
    <xf numFmtId="3" fontId="5" fillId="0" borderId="0" xfId="0" applyNumberFormat="1" applyFont="1" applyAlignment="1">
      <alignment horizontal="right" vertical="top"/>
    </xf>
    <xf numFmtId="0" fontId="0" fillId="3" borderId="0" xfId="0" applyFill="1" applyAlignment="1">
      <alignment horizontal="right"/>
    </xf>
    <xf numFmtId="0" fontId="3" fillId="3" borderId="0" xfId="0" applyFont="1" applyFill="1"/>
    <xf numFmtId="2" fontId="0" fillId="0" borderId="0" xfId="0" applyNumberFormat="1"/>
    <xf numFmtId="2" fontId="0" fillId="3" borderId="0" xfId="0" applyNumberFormat="1" applyFill="1"/>
    <xf numFmtId="0" fontId="7" fillId="0" borderId="0" xfId="0" applyFont="1" applyAlignment="1">
      <alignment wrapText="1"/>
    </xf>
    <xf numFmtId="0" fontId="0" fillId="0" borderId="0" xfId="0"/>
    <xf numFmtId="0" fontId="0" fillId="0" borderId="0" xfId="0" applyAlignment="1"/>
    <xf numFmtId="0" fontId="7" fillId="0" borderId="0" xfId="0" applyFont="1"/>
    <xf numFmtId="0" fontId="7" fillId="0" borderId="0" xfId="0" applyFont="1" applyAlignment="1">
      <alignment horizontal="center"/>
    </xf>
    <xf numFmtId="164" fontId="7" fillId="0" borderId="0" xfId="0" applyNumberFormat="1" applyFont="1" applyFill="1" applyBorder="1" applyAlignment="1">
      <alignment horizontal="center" vertical="center"/>
    </xf>
    <xf numFmtId="0" fontId="11" fillId="0" borderId="0" xfId="0" applyFont="1"/>
    <xf numFmtId="0" fontId="7" fillId="0" borderId="0" xfId="0" applyFont="1" applyBorder="1"/>
    <xf numFmtId="0" fontId="12" fillId="0" borderId="0" xfId="0" applyFont="1" applyBorder="1"/>
    <xf numFmtId="2" fontId="7" fillId="0" borderId="0" xfId="0" applyNumberFormat="1" applyFont="1" applyBorder="1" applyAlignment="1">
      <alignment wrapText="1"/>
    </xf>
    <xf numFmtId="0" fontId="11" fillId="0" borderId="4" xfId="0" applyFont="1" applyBorder="1"/>
    <xf numFmtId="0" fontId="11" fillId="0" borderId="5" xfId="0" applyFont="1" applyBorder="1"/>
    <xf numFmtId="0" fontId="0" fillId="0" borderId="6" xfId="0" applyBorder="1"/>
    <xf numFmtId="0" fontId="0" fillId="0" borderId="0" xfId="0" applyBorder="1"/>
    <xf numFmtId="164" fontId="0" fillId="0" borderId="0" xfId="0" applyNumberFormat="1" applyBorder="1"/>
    <xf numFmtId="4" fontId="0" fillId="0" borderId="0" xfId="0" applyNumberFormat="1" applyBorder="1"/>
    <xf numFmtId="0" fontId="0" fillId="0" borderId="7" xfId="0" applyBorder="1"/>
    <xf numFmtId="0" fontId="0" fillId="0" borderId="0" xfId="0" applyBorder="1" applyAlignment="1"/>
    <xf numFmtId="0" fontId="7" fillId="0" borderId="0" xfId="0" applyFont="1" applyBorder="1" applyAlignment="1">
      <alignment horizontal="center"/>
    </xf>
    <xf numFmtId="0" fontId="0" fillId="0" borderId="6" xfId="0" applyBorder="1" applyAlignment="1"/>
    <xf numFmtId="0" fontId="0" fillId="0" borderId="8" xfId="0" applyBorder="1"/>
    <xf numFmtId="0" fontId="0" fillId="0" borderId="9" xfId="0" applyBorder="1"/>
    <xf numFmtId="0" fontId="0" fillId="0" borderId="10" xfId="0" applyBorder="1"/>
    <xf numFmtId="0" fontId="0" fillId="0" borderId="4" xfId="0" applyBorder="1" applyAlignment="1"/>
    <xf numFmtId="0" fontId="0" fillId="0" borderId="5" xfId="0" applyBorder="1" applyAlignment="1"/>
    <xf numFmtId="0" fontId="11" fillId="0" borderId="9" xfId="0" applyFont="1" applyBorder="1"/>
    <xf numFmtId="0" fontId="11" fillId="0" borderId="10" xfId="0" applyFont="1" applyBorder="1"/>
    <xf numFmtId="0" fontId="9" fillId="0" borderId="4" xfId="0" applyFont="1" applyBorder="1"/>
    <xf numFmtId="0" fontId="0" fillId="0" borderId="4" xfId="0" applyBorder="1"/>
    <xf numFmtId="0" fontId="0" fillId="0" borderId="5" xfId="0" applyBorder="1"/>
    <xf numFmtId="0" fontId="0" fillId="0" borderId="9" xfId="0" applyBorder="1" applyAlignment="1"/>
    <xf numFmtId="0" fontId="7" fillId="0" borderId="9" xfId="0" applyFont="1" applyBorder="1" applyAlignment="1">
      <alignment horizontal="center"/>
    </xf>
    <xf numFmtId="164" fontId="7" fillId="0" borderId="4" xfId="0" applyNumberFormat="1" applyFont="1" applyFill="1" applyBorder="1" applyAlignment="1">
      <alignment horizontal="center" vertical="center"/>
    </xf>
    <xf numFmtId="0" fontId="0" fillId="0" borderId="4" xfId="0" applyBorder="1" applyAlignment="1">
      <alignment horizontal="center" vertical="center"/>
    </xf>
    <xf numFmtId="164" fontId="7" fillId="0" borderId="4" xfId="0" applyNumberFormat="1" applyFont="1" applyBorder="1" applyAlignment="1">
      <alignment horizontal="center" vertical="center"/>
    </xf>
    <xf numFmtId="0" fontId="0" fillId="0" borderId="0" xfId="0" applyBorder="1" applyAlignment="1">
      <alignment horizontal="center" vertical="center"/>
    </xf>
    <xf numFmtId="164" fontId="7" fillId="0" borderId="0" xfId="0" applyNumberFormat="1" applyFont="1" applyBorder="1" applyAlignment="1">
      <alignment horizontal="center" vertical="center"/>
    </xf>
    <xf numFmtId="0" fontId="0" fillId="0" borderId="4" xfId="0" applyFont="1" applyBorder="1"/>
    <xf numFmtId="0" fontId="1" fillId="0" borderId="4" xfId="0" applyFont="1" applyBorder="1"/>
    <xf numFmtId="0" fontId="0" fillId="0" borderId="0" xfId="0" applyFont="1" applyBorder="1"/>
    <xf numFmtId="0" fontId="0" fillId="0" borderId="0" xfId="0" applyFont="1" applyBorder="1" applyAlignment="1"/>
    <xf numFmtId="4" fontId="0" fillId="0" borderId="0" xfId="0" applyNumberFormat="1" applyFont="1" applyBorder="1"/>
    <xf numFmtId="0" fontId="0" fillId="0" borderId="7" xfId="0" applyFont="1" applyBorder="1"/>
    <xf numFmtId="164" fontId="0" fillId="0" borderId="0" xfId="0" applyNumberFormat="1" applyFont="1" applyBorder="1"/>
    <xf numFmtId="4" fontId="0" fillId="0" borderId="0" xfId="0" applyNumberFormat="1" applyFont="1" applyBorder="1" applyAlignment="1">
      <alignment horizontal="center" wrapText="1"/>
    </xf>
    <xf numFmtId="0" fontId="14" fillId="0" borderId="0" xfId="0" applyFont="1"/>
    <xf numFmtId="0" fontId="14" fillId="0" borderId="6" xfId="0" applyFont="1" applyBorder="1"/>
    <xf numFmtId="0" fontId="14" fillId="0" borderId="0" xfId="0" applyFont="1" applyBorder="1"/>
    <xf numFmtId="0" fontId="14" fillId="0" borderId="7" xfId="0" applyFont="1" applyBorder="1"/>
    <xf numFmtId="0" fontId="0" fillId="0" borderId="0" xfId="0" applyFill="1" applyBorder="1" applyAlignment="1"/>
    <xf numFmtId="0" fontId="0" fillId="0" borderId="13" xfId="0" applyBorder="1"/>
    <xf numFmtId="0" fontId="0" fillId="0" borderId="15" xfId="0" applyBorder="1"/>
    <xf numFmtId="0" fontId="7" fillId="0" borderId="6" xfId="0" applyFont="1" applyBorder="1"/>
    <xf numFmtId="0" fontId="7" fillId="4" borderId="0" xfId="0" applyFont="1" applyFill="1" applyBorder="1" applyAlignment="1">
      <alignment horizontal="center"/>
    </xf>
    <xf numFmtId="0" fontId="18" fillId="0" borderId="11" xfId="0" applyFont="1" applyBorder="1" applyAlignment="1"/>
    <xf numFmtId="0" fontId="7" fillId="0" borderId="12" xfId="0" applyFont="1" applyBorder="1"/>
    <xf numFmtId="0" fontId="7" fillId="0" borderId="14" xfId="0" applyFont="1" applyBorder="1"/>
    <xf numFmtId="0" fontId="16" fillId="0" borderId="14" xfId="0" applyFont="1" applyBorder="1" applyAlignment="1">
      <alignment vertical="center" wrapText="1"/>
    </xf>
    <xf numFmtId="0" fontId="7" fillId="0" borderId="14" xfId="0" applyFont="1" applyBorder="1" applyAlignment="1">
      <alignment wrapText="1"/>
    </xf>
    <xf numFmtId="0" fontId="7" fillId="0" borderId="16" xfId="0" applyFont="1" applyBorder="1" applyAlignment="1">
      <alignment wrapText="1"/>
    </xf>
    <xf numFmtId="0" fontId="7" fillId="0" borderId="17" xfId="0" applyFont="1" applyBorder="1"/>
    <xf numFmtId="0" fontId="0" fillId="0" borderId="17" xfId="0" applyBorder="1"/>
    <xf numFmtId="0" fontId="0" fillId="0" borderId="18" xfId="0" applyBorder="1"/>
    <xf numFmtId="0" fontId="7" fillId="0" borderId="13" xfId="0" applyFont="1" applyBorder="1"/>
    <xf numFmtId="0" fontId="7" fillId="0" borderId="15" xfId="0" applyFont="1" applyBorder="1"/>
    <xf numFmtId="0" fontId="7" fillId="0" borderId="18" xfId="0" applyFont="1" applyBorder="1"/>
    <xf numFmtId="0" fontId="18" fillId="0" borderId="11" xfId="0" applyFont="1" applyBorder="1"/>
    <xf numFmtId="0" fontId="18" fillId="0" borderId="14" xfId="0" applyFont="1" applyBorder="1" applyAlignment="1"/>
    <xf numFmtId="0" fontId="8" fillId="0" borderId="14" xfId="0" applyFont="1" applyBorder="1" applyAlignment="1">
      <alignment wrapText="1"/>
    </xf>
    <xf numFmtId="0" fontId="7" fillId="0" borderId="0" xfId="0" applyFont="1" applyBorder="1" applyAlignment="1">
      <alignment horizontal="left" vertical="center" wrapText="1"/>
    </xf>
    <xf numFmtId="0" fontId="7" fillId="0" borderId="0" xfId="0" applyFont="1" applyFill="1" applyBorder="1"/>
    <xf numFmtId="0" fontId="7" fillId="0" borderId="17" xfId="0" applyFont="1" applyBorder="1" applyAlignment="1">
      <alignment horizontal="left" vertical="center" wrapText="1"/>
    </xf>
    <xf numFmtId="0" fontId="7" fillId="0" borderId="18" xfId="0" applyFont="1" applyFill="1" applyBorder="1" applyAlignment="1">
      <alignment wrapText="1"/>
    </xf>
    <xf numFmtId="0" fontId="19" fillId="0" borderId="12" xfId="0" applyFont="1" applyBorder="1"/>
    <xf numFmtId="0" fontId="19" fillId="0" borderId="13" xfId="0" applyFont="1" applyBorder="1"/>
    <xf numFmtId="0" fontId="7" fillId="0" borderId="0" xfId="0" applyFont="1" applyBorder="1" applyAlignment="1">
      <alignment horizontal="left" vertical="center"/>
    </xf>
    <xf numFmtId="0" fontId="0" fillId="0" borderId="0" xfId="0" applyFont="1" applyBorder="1" applyAlignment="1">
      <alignment wrapText="1"/>
    </xf>
    <xf numFmtId="0" fontId="0" fillId="0" borderId="0" xfId="0" applyFont="1" applyBorder="1" applyAlignment="1">
      <alignment horizontal="center"/>
    </xf>
    <xf numFmtId="0" fontId="7" fillId="0" borderId="0" xfId="0" applyFont="1" applyBorder="1" applyAlignment="1">
      <alignment wrapText="1"/>
    </xf>
    <xf numFmtId="0" fontId="18" fillId="0" borderId="1" xfId="0" applyFont="1" applyBorder="1" applyAlignment="1"/>
    <xf numFmtId="0" fontId="7" fillId="0" borderId="19" xfId="0" applyFont="1" applyBorder="1" applyAlignment="1">
      <alignment wrapText="1"/>
    </xf>
    <xf numFmtId="0" fontId="7" fillId="0" borderId="2" xfId="0" applyFont="1" applyBorder="1" applyAlignment="1">
      <alignment wrapText="1"/>
    </xf>
    <xf numFmtId="0" fontId="0" fillId="0" borderId="7" xfId="0" applyBorder="1" applyAlignment="1"/>
    <xf numFmtId="0" fontId="6" fillId="0" borderId="0" xfId="0" applyFont="1" applyBorder="1" applyAlignment="1">
      <alignment horizontal="center"/>
    </xf>
    <xf numFmtId="0" fontId="17" fillId="5" borderId="0" xfId="0" applyFont="1" applyFill="1" applyBorder="1" applyAlignment="1">
      <alignment horizontal="center" wrapText="1"/>
    </xf>
    <xf numFmtId="0" fontId="6" fillId="0" borderId="0" xfId="0" applyFont="1" applyBorder="1" applyAlignment="1"/>
    <xf numFmtId="0" fontId="0" fillId="0" borderId="0" xfId="0" applyFont="1" applyBorder="1" applyAlignment="1"/>
    <xf numFmtId="0" fontId="0" fillId="0" borderId="3" xfId="0" applyBorder="1"/>
    <xf numFmtId="0" fontId="13" fillId="0" borderId="4" xfId="0" applyFont="1" applyBorder="1"/>
    <xf numFmtId="0" fontId="1" fillId="0" borderId="9" xfId="0" applyFont="1" applyBorder="1"/>
    <xf numFmtId="0" fontId="12" fillId="0" borderId="4" xfId="0" applyFont="1" applyBorder="1"/>
    <xf numFmtId="0" fontId="7" fillId="0" borderId="9" xfId="0" applyFont="1" applyBorder="1"/>
    <xf numFmtId="0" fontId="10" fillId="0" borderId="0" xfId="0" applyFont="1" applyBorder="1"/>
    <xf numFmtId="0" fontId="10" fillId="0" borderId="9" xfId="0" applyFont="1" applyBorder="1"/>
    <xf numFmtId="0" fontId="0" fillId="0" borderId="3" xfId="0" applyBorder="1" applyAlignment="1"/>
    <xf numFmtId="0" fontId="11" fillId="0" borderId="3" xfId="0" applyFont="1" applyBorder="1"/>
    <xf numFmtId="0" fontId="7" fillId="0" borderId="7" xfId="0" applyFont="1" applyBorder="1" applyAlignment="1">
      <alignment horizontal="center"/>
    </xf>
    <xf numFmtId="0" fontId="12" fillId="0" borderId="4" xfId="0" applyFont="1" applyBorder="1" applyAlignment="1">
      <alignment horizontal="left" vertical="center"/>
    </xf>
    <xf numFmtId="164" fontId="7" fillId="0" borderId="5" xfId="0" applyNumberFormat="1" applyFont="1" applyBorder="1" applyAlignment="1">
      <alignment horizontal="center" vertical="center"/>
    </xf>
    <xf numFmtId="0" fontId="12" fillId="0" borderId="0" xfId="0" applyFont="1" applyBorder="1" applyAlignment="1">
      <alignment horizontal="left" vertical="center"/>
    </xf>
    <xf numFmtId="164" fontId="7" fillId="0" borderId="7" xfId="0" applyNumberFormat="1" applyFont="1" applyBorder="1" applyAlignment="1">
      <alignment horizontal="center" vertical="center"/>
    </xf>
    <xf numFmtId="165" fontId="7" fillId="0" borderId="0" xfId="0" applyNumberFormat="1" applyFont="1" applyBorder="1"/>
    <xf numFmtId="11" fontId="7" fillId="0" borderId="0" xfId="0" applyNumberFormat="1" applyFont="1" applyBorder="1"/>
    <xf numFmtId="164" fontId="7" fillId="0" borderId="0" xfId="0" applyNumberFormat="1" applyFont="1" applyBorder="1" applyAlignment="1">
      <alignment horizontal="center"/>
    </xf>
    <xf numFmtId="11" fontId="0" fillId="0" borderId="0" xfId="0" applyNumberFormat="1" applyBorder="1"/>
    <xf numFmtId="0" fontId="17" fillId="0" borderId="0" xfId="0" applyFont="1" applyBorder="1"/>
    <xf numFmtId="0" fontId="0" fillId="0" borderId="0" xfId="0" applyFont="1" applyBorder="1" applyAlignment="1"/>
    <xf numFmtId="0" fontId="0" fillId="0" borderId="0" xfId="0" applyFont="1" applyBorder="1" applyAlignment="1"/>
    <xf numFmtId="0" fontId="0" fillId="0" borderId="0" xfId="0" applyFont="1" applyBorder="1" applyAlignment="1">
      <alignment wrapText="1"/>
    </xf>
    <xf numFmtId="0" fontId="0" fillId="0" borderId="0" xfId="0" applyBorder="1" applyAlignment="1"/>
    <xf numFmtId="0" fontId="18" fillId="0" borderId="0" xfId="0" applyFont="1" applyBorder="1" applyAlignment="1"/>
    <xf numFmtId="0" fontId="11" fillId="0" borderId="0" xfId="0" applyFont="1" applyBorder="1"/>
    <xf numFmtId="0" fontId="20" fillId="0" borderId="14" xfId="0" applyFont="1" applyBorder="1" applyAlignment="1"/>
    <xf numFmtId="0" fontId="20" fillId="0" borderId="14" xfId="0" applyFont="1" applyBorder="1"/>
    <xf numFmtId="0" fontId="17" fillId="0" borderId="0" xfId="0" applyFont="1" applyFill="1" applyBorder="1"/>
    <xf numFmtId="0" fontId="7" fillId="0" borderId="0" xfId="0" applyFont="1" applyFill="1"/>
    <xf numFmtId="0" fontId="8" fillId="6" borderId="0" xfId="0" applyFont="1" applyFill="1" applyBorder="1"/>
    <xf numFmtId="0" fontId="0" fillId="0" borderId="6" xfId="0" applyFont="1" applyBorder="1" applyAlignment="1"/>
    <xf numFmtId="0" fontId="0" fillId="0" borderId="6" xfId="0" applyFont="1" applyBorder="1"/>
    <xf numFmtId="0" fontId="0" fillId="0" borderId="21" xfId="0" applyFont="1" applyBorder="1"/>
    <xf numFmtId="0" fontId="0" fillId="0" borderId="21" xfId="0" applyFont="1" applyBorder="1" applyAlignment="1"/>
    <xf numFmtId="0" fontId="0" fillId="0" borderId="21" xfId="0" applyFont="1" applyFill="1" applyBorder="1" applyAlignment="1"/>
    <xf numFmtId="2" fontId="0" fillId="0" borderId="21" xfId="0" applyNumberFormat="1" applyFont="1" applyBorder="1" applyAlignment="1">
      <alignment wrapText="1"/>
    </xf>
    <xf numFmtId="2" fontId="0" fillId="0" borderId="21" xfId="0" applyNumberFormat="1" applyFont="1" applyBorder="1" applyAlignment="1"/>
    <xf numFmtId="0" fontId="0" fillId="0" borderId="21" xfId="0" applyFont="1" applyBorder="1" applyAlignment="1">
      <alignment horizontal="center"/>
    </xf>
    <xf numFmtId="11" fontId="6" fillId="6" borderId="21" xfId="1" applyNumberFormat="1" applyFont="1" applyFill="1" applyBorder="1" applyAlignment="1">
      <alignment horizontal="center"/>
    </xf>
    <xf numFmtId="11" fontId="0" fillId="6" borderId="21" xfId="0" applyNumberFormat="1" applyFont="1" applyFill="1" applyBorder="1" applyAlignment="1">
      <alignment horizontal="center"/>
    </xf>
    <xf numFmtId="11" fontId="0" fillId="6" borderId="21" xfId="0" applyNumberFormat="1" applyFont="1" applyFill="1" applyBorder="1" applyAlignment="1">
      <alignment horizontal="center" wrapText="1"/>
    </xf>
    <xf numFmtId="0" fontId="0" fillId="0" borderId="12" xfId="0" applyFont="1" applyBorder="1"/>
    <xf numFmtId="2" fontId="0" fillId="0" borderId="12" xfId="0" applyNumberFormat="1" applyFont="1" applyBorder="1" applyAlignment="1">
      <alignment wrapText="1"/>
    </xf>
    <xf numFmtId="0" fontId="11" fillId="0" borderId="6" xfId="0" applyFont="1" applyBorder="1"/>
    <xf numFmtId="0" fontId="22" fillId="0" borderId="0" xfId="0" applyFont="1" applyBorder="1" applyAlignment="1">
      <alignment horizontal="right"/>
    </xf>
    <xf numFmtId="0" fontId="0" fillId="0" borderId="0" xfId="0" applyFont="1"/>
    <xf numFmtId="0" fontId="6" fillId="0" borderId="21" xfId="0" applyFont="1" applyBorder="1" applyAlignment="1">
      <alignment horizontal="center"/>
    </xf>
    <xf numFmtId="0" fontId="6" fillId="6" borderId="21" xfId="0" applyFont="1" applyFill="1" applyBorder="1" applyAlignment="1">
      <alignment horizontal="center"/>
    </xf>
    <xf numFmtId="0" fontId="6" fillId="0" borderId="21" xfId="0" applyFont="1" applyBorder="1" applyAlignment="1">
      <alignment horizontal="center" wrapText="1"/>
    </xf>
    <xf numFmtId="0" fontId="0" fillId="0" borderId="0" xfId="0" applyFont="1" applyBorder="1" applyAlignment="1">
      <alignment vertical="center"/>
    </xf>
    <xf numFmtId="0" fontId="0" fillId="0" borderId="21" xfId="0" applyFont="1" applyBorder="1" applyAlignment="1">
      <alignment vertical="top" wrapText="1"/>
    </xf>
    <xf numFmtId="0" fontId="0" fillId="0" borderId="21" xfId="0" applyFont="1" applyBorder="1" applyAlignment="1">
      <alignment vertical="center" wrapText="1"/>
    </xf>
    <xf numFmtId="164" fontId="0" fillId="0" borderId="21" xfId="0" applyNumberFormat="1" applyFont="1" applyBorder="1" applyAlignment="1">
      <alignment horizontal="center"/>
    </xf>
    <xf numFmtId="4" fontId="0" fillId="0" borderId="21" xfId="0" applyNumberFormat="1" applyFont="1" applyBorder="1" applyAlignment="1">
      <alignment horizontal="center" wrapText="1"/>
    </xf>
    <xf numFmtId="0" fontId="0" fillId="6" borderId="21" xfId="0" applyFont="1" applyFill="1" applyBorder="1" applyAlignment="1">
      <alignment horizontal="center"/>
    </xf>
    <xf numFmtId="164" fontId="0" fillId="6" borderId="21" xfId="0" applyNumberFormat="1" applyFont="1" applyFill="1" applyBorder="1" applyAlignment="1">
      <alignment horizontal="center"/>
    </xf>
    <xf numFmtId="164" fontId="0" fillId="7" borderId="21" xfId="0" applyNumberFormat="1" applyFont="1" applyFill="1" applyBorder="1" applyAlignment="1">
      <alignment horizontal="center"/>
    </xf>
    <xf numFmtId="0" fontId="0" fillId="0" borderId="23" xfId="0" applyBorder="1" applyAlignment="1"/>
    <xf numFmtId="0" fontId="7" fillId="0" borderId="24" xfId="0" applyFont="1" applyBorder="1" applyAlignment="1">
      <alignment wrapText="1"/>
    </xf>
    <xf numFmtId="0" fontId="0" fillId="0" borderId="22" xfId="0" applyBorder="1"/>
    <xf numFmtId="0" fontId="9" fillId="0" borderId="0" xfId="0" applyFont="1" applyBorder="1"/>
    <xf numFmtId="0" fontId="11" fillId="0" borderId="7" xfId="0" applyFont="1" applyBorder="1"/>
    <xf numFmtId="0" fontId="0" fillId="0" borderId="21" xfId="0" applyFont="1" applyFill="1" applyBorder="1"/>
    <xf numFmtId="0" fontId="0" fillId="0" borderId="21" xfId="0" applyFont="1" applyFill="1" applyBorder="1" applyAlignment="1">
      <alignment horizontal="center"/>
    </xf>
    <xf numFmtId="0" fontId="6" fillId="0" borderId="21" xfId="0" applyFont="1" applyFill="1" applyBorder="1" applyAlignment="1">
      <alignment horizontal="center" wrapText="1"/>
    </xf>
    <xf numFmtId="166" fontId="6" fillId="6" borderId="21" xfId="0" applyNumberFormat="1" applyFont="1" applyFill="1" applyBorder="1" applyAlignment="1">
      <alignment horizontal="center"/>
    </xf>
    <xf numFmtId="0" fontId="0" fillId="0" borderId="21" xfId="0" applyFont="1" applyBorder="1" applyAlignment="1">
      <alignment horizontal="center" wrapText="1"/>
    </xf>
    <xf numFmtId="0" fontId="0" fillId="0" borderId="22" xfId="0" applyBorder="1" applyAlignment="1"/>
    <xf numFmtId="0" fontId="0" fillId="0" borderId="24" xfId="0" applyBorder="1"/>
    <xf numFmtId="2" fontId="18" fillId="0" borderId="21" xfId="0" applyNumberFormat="1" applyFont="1" applyBorder="1" applyAlignment="1">
      <alignment wrapText="1"/>
    </xf>
    <xf numFmtId="164" fontId="18" fillId="7" borderId="21" xfId="0" applyNumberFormat="1" applyFont="1" applyFill="1" applyBorder="1" applyAlignment="1">
      <alignment horizontal="center"/>
    </xf>
    <xf numFmtId="2" fontId="18" fillId="0" borderId="23" xfId="0" applyNumberFormat="1" applyFont="1" applyBorder="1" applyAlignment="1"/>
    <xf numFmtId="0" fontId="19" fillId="0" borderId="23" xfId="0" applyFont="1" applyBorder="1" applyAlignment="1">
      <alignment wrapText="1"/>
    </xf>
    <xf numFmtId="2" fontId="18" fillId="0" borderId="24" xfId="0" applyNumberFormat="1" applyFont="1" applyBorder="1" applyAlignment="1"/>
    <xf numFmtId="0" fontId="18" fillId="0" borderId="21" xfId="0" applyFont="1" applyBorder="1"/>
    <xf numFmtId="0" fontId="18" fillId="0" borderId="21" xfId="0" applyFont="1" applyBorder="1" applyAlignment="1"/>
    <xf numFmtId="0" fontId="25" fillId="0" borderId="0" xfId="0" applyFont="1"/>
    <xf numFmtId="0" fontId="0" fillId="4" borderId="21" xfId="0" applyFont="1" applyFill="1" applyBorder="1" applyAlignment="1" applyProtection="1">
      <alignment wrapText="1"/>
      <protection locked="0"/>
    </xf>
    <xf numFmtId="0" fontId="0" fillId="8" borderId="0" xfId="0" applyFill="1" applyAlignment="1">
      <alignment vertical="center" wrapText="1"/>
    </xf>
    <xf numFmtId="11" fontId="6" fillId="4" borderId="20" xfId="1" applyNumberFormat="1" applyFont="1" applyFill="1" applyBorder="1" applyAlignment="1" applyProtection="1">
      <alignment horizontal="center"/>
      <protection locked="0"/>
    </xf>
    <xf numFmtId="0" fontId="0" fillId="4" borderId="21" xfId="0" applyNumberFormat="1" applyFont="1" applyFill="1" applyBorder="1" applyAlignment="1" applyProtection="1">
      <alignment horizontal="center"/>
      <protection locked="0"/>
    </xf>
    <xf numFmtId="0" fontId="17" fillId="0" borderId="21" xfId="0" applyFont="1" applyFill="1" applyBorder="1" applyAlignment="1">
      <alignment horizontal="left" wrapText="1"/>
    </xf>
    <xf numFmtId="0" fontId="6" fillId="0" borderId="21" xfId="0" applyFont="1" applyFill="1" applyBorder="1" applyAlignment="1">
      <alignment horizontal="left"/>
    </xf>
    <xf numFmtId="0" fontId="17" fillId="0" borderId="21" xfId="0" applyFont="1" applyFill="1" applyBorder="1" applyAlignment="1">
      <alignment horizontal="center" wrapText="1"/>
    </xf>
    <xf numFmtId="0" fontId="6" fillId="0" borderId="21" xfId="0" applyFont="1" applyFill="1" applyBorder="1" applyAlignment="1"/>
    <xf numFmtId="0" fontId="0" fillId="0" borderId="0" xfId="0" applyAlignment="1">
      <alignment wrapText="1"/>
    </xf>
    <xf numFmtId="0" fontId="0" fillId="0" borderId="23" xfId="0" applyFont="1" applyBorder="1" applyAlignment="1"/>
    <xf numFmtId="0" fontId="0" fillId="0" borderId="24" xfId="0" applyFont="1" applyBorder="1" applyAlignment="1"/>
    <xf numFmtId="0" fontId="0" fillId="0" borderId="22" xfId="0" applyBorder="1" applyAlignment="1"/>
    <xf numFmtId="164" fontId="0" fillId="0" borderId="0" xfId="0" applyNumberFormat="1" applyFont="1" applyFill="1" applyBorder="1" applyAlignment="1">
      <alignment wrapText="1"/>
    </xf>
    <xf numFmtId="0" fontId="0" fillId="0" borderId="0" xfId="0" applyFont="1" applyFill="1" applyBorder="1" applyAlignment="1">
      <alignment horizontal="left" wrapText="1"/>
    </xf>
    <xf numFmtId="0" fontId="0" fillId="0" borderId="0" xfId="0" applyFont="1" applyFill="1" applyAlignment="1">
      <alignment horizontal="left"/>
    </xf>
    <xf numFmtId="0" fontId="0" fillId="0" borderId="24" xfId="0" applyBorder="1" applyAlignment="1"/>
    <xf numFmtId="0" fontId="0" fillId="0" borderId="21" xfId="0" applyFont="1" applyBorder="1" applyAlignment="1"/>
    <xf numFmtId="0" fontId="0" fillId="0" borderId="21" xfId="0" applyBorder="1" applyAlignment="1"/>
    <xf numFmtId="0" fontId="0" fillId="0" borderId="21" xfId="0" applyFont="1" applyFill="1" applyBorder="1" applyAlignment="1">
      <alignment horizontal="center" vertical="center" wrapText="1"/>
    </xf>
    <xf numFmtId="0" fontId="0" fillId="0" borderId="21" xfId="0" applyFont="1" applyFill="1" applyBorder="1" applyAlignment="1"/>
    <xf numFmtId="0" fontId="0" fillId="0" borderId="21" xfId="0" applyFill="1" applyBorder="1" applyAlignment="1"/>
    <xf numFmtId="0" fontId="0" fillId="0" borderId="21" xfId="0" applyFill="1" applyBorder="1" applyAlignment="1">
      <alignment horizontal="center" vertical="center" wrapText="1"/>
    </xf>
    <xf numFmtId="0" fontId="18" fillId="0" borderId="14" xfId="0" applyFont="1" applyBorder="1" applyAlignment="1">
      <alignment wrapText="1"/>
    </xf>
    <xf numFmtId="0" fontId="18" fillId="0" borderId="0" xfId="0" applyFont="1" applyBorder="1" applyAlignment="1"/>
    <xf numFmtId="0" fontId="18" fillId="0" borderId="15" xfId="0" applyFont="1" applyBorder="1" applyAlignment="1"/>
    <xf numFmtId="164" fontId="7" fillId="0" borderId="0" xfId="0" applyNumberFormat="1" applyFont="1" applyFill="1" applyBorder="1" applyAlignment="1">
      <alignment wrapText="1"/>
    </xf>
    <xf numFmtId="0" fontId="7" fillId="0" borderId="0" xfId="0" applyFont="1" applyBorder="1" applyAlignment="1"/>
  </cellXfs>
  <cellStyles count="3">
    <cellStyle name="Good" xfId="1" builtinId="26"/>
    <cellStyle name="Normal" xfId="0" builtinId="0"/>
    <cellStyle name="Normal 2" xfId="2" xr:uid="{9516FF17-ED9D-4316-AD0E-0A80C2D01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1124510</xdr:colOff>
      <xdr:row>44</xdr:row>
      <xdr:rowOff>219075</xdr:rowOff>
    </xdr:from>
    <xdr:ext cx="2181022" cy="521022"/>
    <xdr:pic>
      <xdr:nvPicPr>
        <xdr:cNvPr id="2" name="Picture 1">
          <a:extLst>
            <a:ext uri="{FF2B5EF4-FFF2-40B4-BE49-F238E27FC236}">
              <a16:creationId xmlns:a16="http://schemas.microsoft.com/office/drawing/2014/main" id="{9BEDC16F-6B24-4F74-84FF-DA7ACA270838}"/>
            </a:ext>
          </a:extLst>
        </xdr:cNvPr>
        <xdr:cNvPicPr>
          <a:picLocks noChangeAspect="1"/>
        </xdr:cNvPicPr>
      </xdr:nvPicPr>
      <xdr:blipFill>
        <a:blip xmlns:r="http://schemas.openxmlformats.org/officeDocument/2006/relationships" r:embed="rId1"/>
        <a:stretch>
          <a:fillRect/>
        </a:stretch>
      </xdr:blipFill>
      <xdr:spPr>
        <a:xfrm>
          <a:off x="2343710" y="12573000"/>
          <a:ext cx="2181022" cy="521022"/>
        </a:xfrm>
        <a:prstGeom prst="rect">
          <a:avLst/>
        </a:prstGeom>
      </xdr:spPr>
    </xdr:pic>
    <xdr:clientData/>
  </xdr:oneCellAnchor>
  <xdr:oneCellAnchor>
    <xdr:from>
      <xdr:col>2</xdr:col>
      <xdr:colOff>1257301</xdr:colOff>
      <xdr:row>93</xdr:row>
      <xdr:rowOff>62675</xdr:rowOff>
    </xdr:from>
    <xdr:ext cx="1162050" cy="302133"/>
    <xdr:pic>
      <xdr:nvPicPr>
        <xdr:cNvPr id="3" name="Picture 2">
          <a:extLst>
            <a:ext uri="{FF2B5EF4-FFF2-40B4-BE49-F238E27FC236}">
              <a16:creationId xmlns:a16="http://schemas.microsoft.com/office/drawing/2014/main" id="{DB73EB01-B703-4BE6-BB6B-0293DB2088CF}"/>
            </a:ext>
          </a:extLst>
        </xdr:cNvPr>
        <xdr:cNvPicPr>
          <a:picLocks noChangeAspect="1"/>
        </xdr:cNvPicPr>
      </xdr:nvPicPr>
      <xdr:blipFill>
        <a:blip xmlns:r="http://schemas.openxmlformats.org/officeDocument/2006/relationships" r:embed="rId2"/>
        <a:stretch>
          <a:fillRect/>
        </a:stretch>
      </xdr:blipFill>
      <xdr:spPr>
        <a:xfrm>
          <a:off x="2476501" y="24018050"/>
          <a:ext cx="1162050" cy="302133"/>
        </a:xfrm>
        <a:prstGeom prst="rect">
          <a:avLst/>
        </a:prstGeom>
      </xdr:spPr>
    </xdr:pic>
    <xdr:clientData/>
  </xdr:oneCellAnchor>
  <xdr:twoCellAnchor editAs="oneCell">
    <xdr:from>
      <xdr:col>6</xdr:col>
      <xdr:colOff>1276350</xdr:colOff>
      <xdr:row>43</xdr:row>
      <xdr:rowOff>342900</xdr:rowOff>
    </xdr:from>
    <xdr:to>
      <xdr:col>8</xdr:col>
      <xdr:colOff>368029</xdr:colOff>
      <xdr:row>46</xdr:row>
      <xdr:rowOff>168183</xdr:rowOff>
    </xdr:to>
    <xdr:pic>
      <xdr:nvPicPr>
        <xdr:cNvPr id="4" name="Picture 3">
          <a:extLst>
            <a:ext uri="{FF2B5EF4-FFF2-40B4-BE49-F238E27FC236}">
              <a16:creationId xmlns:a16="http://schemas.microsoft.com/office/drawing/2014/main" id="{9E81F506-BC0B-4A91-B391-4CEAAFE5B56B}"/>
            </a:ext>
          </a:extLst>
        </xdr:cNvPr>
        <xdr:cNvPicPr>
          <a:picLocks noChangeAspect="1"/>
        </xdr:cNvPicPr>
      </xdr:nvPicPr>
      <xdr:blipFill>
        <a:blip xmlns:r="http://schemas.openxmlformats.org/officeDocument/2006/relationships" r:embed="rId3"/>
        <a:stretch>
          <a:fillRect/>
        </a:stretch>
      </xdr:blipFill>
      <xdr:spPr>
        <a:xfrm>
          <a:off x="9229725" y="12334875"/>
          <a:ext cx="2177779" cy="739683"/>
        </a:xfrm>
        <a:prstGeom prst="rect">
          <a:avLst/>
        </a:prstGeom>
      </xdr:spPr>
    </xdr:pic>
    <xdr:clientData/>
  </xdr:twoCellAnchor>
  <xdr:twoCellAnchor editAs="oneCell">
    <xdr:from>
      <xdr:col>6</xdr:col>
      <xdr:colOff>1333500</xdr:colOff>
      <xdr:row>92</xdr:row>
      <xdr:rowOff>295275</xdr:rowOff>
    </xdr:from>
    <xdr:to>
      <xdr:col>8</xdr:col>
      <xdr:colOff>1561686</xdr:colOff>
      <xdr:row>94</xdr:row>
      <xdr:rowOff>142804</xdr:rowOff>
    </xdr:to>
    <xdr:pic>
      <xdr:nvPicPr>
        <xdr:cNvPr id="7" name="Picture 6">
          <a:extLst>
            <a:ext uri="{FF2B5EF4-FFF2-40B4-BE49-F238E27FC236}">
              <a16:creationId xmlns:a16="http://schemas.microsoft.com/office/drawing/2014/main" id="{BBA0D04C-C464-456B-AB2B-6DBB8BED0F4E}"/>
            </a:ext>
          </a:extLst>
        </xdr:cNvPr>
        <xdr:cNvPicPr>
          <a:picLocks noChangeAspect="1"/>
        </xdr:cNvPicPr>
      </xdr:nvPicPr>
      <xdr:blipFill>
        <a:blip xmlns:r="http://schemas.openxmlformats.org/officeDocument/2006/relationships" r:embed="rId4"/>
        <a:stretch>
          <a:fillRect/>
        </a:stretch>
      </xdr:blipFill>
      <xdr:spPr>
        <a:xfrm>
          <a:off x="9286875" y="23888700"/>
          <a:ext cx="3314286" cy="571429"/>
        </a:xfrm>
        <a:prstGeom prst="rect">
          <a:avLst/>
        </a:prstGeom>
      </xdr:spPr>
    </xdr:pic>
    <xdr:clientData/>
  </xdr:twoCellAnchor>
  <xdr:twoCellAnchor>
    <xdr:from>
      <xdr:col>8</xdr:col>
      <xdr:colOff>1504950</xdr:colOff>
      <xdr:row>0</xdr:row>
      <xdr:rowOff>142875</xdr:rowOff>
    </xdr:from>
    <xdr:to>
      <xdr:col>10</xdr:col>
      <xdr:colOff>676275</xdr:colOff>
      <xdr:row>0</xdr:row>
      <xdr:rowOff>828675</xdr:rowOff>
    </xdr:to>
    <xdr:pic>
      <xdr:nvPicPr>
        <xdr:cNvPr id="10" name="Picture 3" descr="cid:0.28873894790.2980524680543710569.15d7b98dca8__inline__img__src">
          <a:extLst>
            <a:ext uri="{FF2B5EF4-FFF2-40B4-BE49-F238E27FC236}">
              <a16:creationId xmlns:a16="http://schemas.microsoft.com/office/drawing/2014/main" id="{C37EE865-97BC-4011-B662-56F4BCEB7D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44425" y="142875"/>
          <a:ext cx="2171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1524000</xdr:colOff>
      <xdr:row>90</xdr:row>
      <xdr:rowOff>19050</xdr:rowOff>
    </xdr:from>
    <xdr:to>
      <xdr:col>10</xdr:col>
      <xdr:colOff>695325</xdr:colOff>
      <xdr:row>90</xdr:row>
      <xdr:rowOff>704850</xdr:rowOff>
    </xdr:to>
    <xdr:pic>
      <xdr:nvPicPr>
        <xdr:cNvPr id="12" name="Picture 3" descr="cid:0.28873894790.2980524680543710569.15d7b98dca8__inline__img__src">
          <a:extLst>
            <a:ext uri="{FF2B5EF4-FFF2-40B4-BE49-F238E27FC236}">
              <a16:creationId xmlns:a16="http://schemas.microsoft.com/office/drawing/2014/main" id="{7DE8EA91-B229-4733-9045-DF8F4CD316D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63475" y="24564975"/>
          <a:ext cx="21717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ole, Simon" id="{33DB911E-7C5E-430C-82A5-525F1113BF3B}" userId="S::simon.cole@aecom.com::885bdc50-bd49-4a8a-99c1-c1a8216545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 dT="2020-10-06T15:07:05.05" personId="{33DB911E-7C5E-430C-82A5-525F1113BF3B}" id="{FD34A0EB-B07F-496E-BD19-B598CD113A5D}">
    <text>Choose asbestos type.</text>
  </threadedComment>
  <threadedComment ref="E11" dT="2020-10-06T15:07:54.37" personId="{33DB911E-7C5E-430C-82A5-525F1113BF3B}" id="{C822F678-0280-457C-B851-F5033D3ACACA}">
    <text>Choose model type.  Recommended choice for mesothelioma is the linear model.</text>
  </threadedComment>
  <threadedComment ref="E12" dT="2020-10-06T15:08:26.95" personId="{33DB911E-7C5E-430C-82A5-525F1113BF3B}" id="{23009157-E6C2-4BDA-9792-2E8100F3DE6C}">
    <text>Choose model type.  Recommended choice is the non-linear model for lung cancer.</text>
  </threadedComment>
  <threadedComment ref="E13" dT="2020-10-06T15:09:28.70" personId="{33DB911E-7C5E-430C-82A5-525F1113BF3B}" id="{DF6F7CFF-9C46-4948-8C93-2C7F981B55A8}">
    <text>Choose population.  Recommended default is "All - population average".</text>
  </threadedComment>
  <threadedComment ref="E14" dT="2020-10-06T15:10:13.50" personId="{33DB911E-7C5E-430C-82A5-525F1113BF3B}" id="{2CC0E97E-31A2-4A12-9182-F60FA4256F0E}">
    <text>Choose expected lifetime.  Recommended default is 80 yrs.</text>
  </threadedComment>
  <threadedComment ref="E15" dT="2020-10-06T15:11:27.83" personId="{33DB911E-7C5E-430C-82A5-525F1113BF3B}" id="{CEE4C7BE-6A32-45C7-9BEE-28E281A790B5}">
    <text>Choose age adjustment.  Recommended default is the latency option.</text>
  </threadedComment>
  <threadedComment ref="E22" dT="2020-10-06T15:11:50.63" personId="{33DB911E-7C5E-430C-82A5-525F1113BF3B}" id="{7A2C55BF-F030-412B-806D-866A578A52C6}">
    <text>Enter measured or estimated air concentration.</text>
  </threadedComment>
  <threadedComment ref="D27" dT="2020-10-06T15:13:41.12" personId="{33DB911E-7C5E-430C-82A5-525F1113BF3B}" id="{FF7B9182-DFB8-4366-A100-E5372BB43CDC}">
    <text>Enter a value for each age tranche that you are interested in (consistent with your chosen exposure scenario).  Leave the remainder blank.</text>
  </threadedComment>
  <threadedComment ref="E27" dT="2020-10-06T15:14:30.35" personId="{33DB911E-7C5E-430C-82A5-525F1113BF3B}" id="{6214AEFA-096C-408B-BF0D-8A015C9F4274}">
    <text>Enter a value for each age tranche of interest (consistent with your chosen exposure sceanario).  Leave the remainder blank.</text>
  </threadedComment>
  <threadedComment ref="F27" dT="2021-01-11T09:01:04.30" personId="{33DB911E-7C5E-430C-82A5-525F1113BF3B}" id="{E680D3C8-2F92-437B-BA05-B579D5D38AD8}">
    <text>Enter number of years of exposure for each 5 year age tranche.  Maximum is 5 years but can be less if you are looking at a smaller exposure duration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8542-8C56-4D22-AD62-EA064041B486}">
  <dimension ref="B2"/>
  <sheetViews>
    <sheetView workbookViewId="0"/>
  </sheetViews>
  <sheetFormatPr defaultRowHeight="15" x14ac:dyDescent="0.25"/>
  <cols>
    <col min="2" max="2" width="146.42578125" customWidth="1"/>
  </cols>
  <sheetData>
    <row r="2" spans="2:2" ht="330" x14ac:dyDescent="0.25">
      <c r="B2" s="183" t="s">
        <v>195</v>
      </c>
    </row>
  </sheetData>
  <sheetProtection password="9FAF"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F181-A795-4CCC-8947-EF884E8A6813}">
  <sheetPr codeName="Sheet1">
    <pageSetUpPr fitToPage="1"/>
  </sheetPr>
  <dimension ref="A1:CD198"/>
  <sheetViews>
    <sheetView tabSelected="1" showWhiteSpace="0" view="pageLayout" zoomScale="75" zoomScaleNormal="55" zoomScaleSheetLayoutView="100" zoomScalePageLayoutView="75" workbookViewId="0">
      <selection activeCell="E11" sqref="E11"/>
    </sheetView>
  </sheetViews>
  <sheetFormatPr defaultRowHeight="15" x14ac:dyDescent="0.25"/>
  <cols>
    <col min="1" max="2" width="9.140625" style="19"/>
    <col min="3" max="3" width="22" style="19" customWidth="1"/>
    <col min="4" max="4" width="31.28515625" style="19" customWidth="1"/>
    <col min="5" max="5" width="26.28515625" style="19" customWidth="1"/>
    <col min="6" max="6" width="21.42578125" style="19" customWidth="1"/>
    <col min="7" max="7" width="23.7109375" style="19" customWidth="1"/>
    <col min="8" max="8" width="22.5703125" style="19" customWidth="1"/>
    <col min="9" max="9" width="32.140625" style="19" customWidth="1"/>
    <col min="10" max="10" width="12.85546875" style="19" customWidth="1"/>
    <col min="11" max="11" width="15" style="19" customWidth="1"/>
    <col min="12" max="12" width="19.28515625" style="19" customWidth="1"/>
    <col min="13" max="13" width="17.140625" style="19" customWidth="1"/>
    <col min="14" max="14" width="12" style="19" customWidth="1"/>
    <col min="15" max="15" width="12.42578125" style="19" customWidth="1"/>
    <col min="16" max="16" width="21.5703125" style="19" customWidth="1"/>
    <col min="17" max="18" width="12.42578125" style="19" customWidth="1"/>
    <col min="19" max="16384" width="9.140625" style="19"/>
  </cols>
  <sheetData>
    <row r="1" spans="1:19" ht="72.75" customHeight="1" x14ac:dyDescent="0.25">
      <c r="I1"/>
    </row>
    <row r="2" spans="1:19" ht="15.75" thickBot="1" x14ac:dyDescent="0.3"/>
    <row r="3" spans="1:19" ht="46.5" x14ac:dyDescent="0.7">
      <c r="A3" s="105"/>
      <c r="B3" s="106" t="s">
        <v>100</v>
      </c>
      <c r="C3" s="55"/>
      <c r="D3" s="46"/>
      <c r="E3" s="56"/>
      <c r="F3" s="56"/>
      <c r="G3" s="46"/>
      <c r="H3" s="55"/>
      <c r="I3" s="46"/>
      <c r="J3" s="46"/>
      <c r="K3" s="47"/>
      <c r="L3" s="31"/>
      <c r="M3" s="31"/>
      <c r="N3" s="31"/>
      <c r="O3" s="31"/>
      <c r="P3" s="31"/>
      <c r="Q3" s="31"/>
      <c r="R3" s="31"/>
      <c r="S3" s="31"/>
    </row>
    <row r="4" spans="1:19" x14ac:dyDescent="0.25">
      <c r="A4" s="30"/>
      <c r="B4" s="57" t="s">
        <v>194</v>
      </c>
      <c r="C4" s="57"/>
      <c r="D4" s="35"/>
      <c r="E4" s="35"/>
      <c r="F4" s="35"/>
      <c r="G4" s="31"/>
      <c r="H4" s="35"/>
      <c r="I4" s="35"/>
      <c r="J4" s="35"/>
      <c r="K4" s="100"/>
      <c r="L4" s="127"/>
      <c r="M4" s="127"/>
      <c r="N4" s="127"/>
      <c r="O4" s="127"/>
      <c r="P4" s="127"/>
      <c r="Q4" s="31"/>
      <c r="R4" s="31"/>
      <c r="S4" s="31"/>
    </row>
    <row r="5" spans="1:19" x14ac:dyDescent="0.25">
      <c r="A5" s="30"/>
      <c r="B5" s="31" t="s">
        <v>196</v>
      </c>
      <c r="C5" s="31"/>
      <c r="D5" s="31"/>
      <c r="E5" s="31"/>
      <c r="F5" s="31"/>
      <c r="G5" s="31"/>
      <c r="H5" s="31"/>
      <c r="I5" s="31"/>
      <c r="J5" s="31"/>
      <c r="K5" s="34"/>
      <c r="L5" s="31"/>
      <c r="M5" s="31"/>
      <c r="N5" s="31"/>
      <c r="O5" s="31"/>
      <c r="P5" s="31"/>
      <c r="Q5" s="31"/>
      <c r="R5" s="31"/>
      <c r="S5" s="31"/>
    </row>
    <row r="6" spans="1:19" x14ac:dyDescent="0.25">
      <c r="A6" s="30"/>
      <c r="B6" s="57" t="s">
        <v>197</v>
      </c>
      <c r="C6" s="31"/>
      <c r="D6" s="31"/>
      <c r="E6" s="31"/>
      <c r="F6" s="31"/>
      <c r="G6" s="31"/>
      <c r="H6" s="31"/>
      <c r="I6" s="31"/>
      <c r="J6" s="31"/>
      <c r="K6" s="34"/>
      <c r="L6" s="31"/>
      <c r="M6" s="31"/>
      <c r="N6" s="31"/>
      <c r="O6" s="31"/>
      <c r="P6" s="31"/>
      <c r="Q6" s="31"/>
      <c r="R6" s="31"/>
      <c r="S6" s="31"/>
    </row>
    <row r="7" spans="1:19" ht="15.75" thickBot="1" x14ac:dyDescent="0.3">
      <c r="A7" s="38"/>
      <c r="B7" s="107"/>
      <c r="C7" s="39"/>
      <c r="D7" s="39"/>
      <c r="E7" s="39"/>
      <c r="F7" s="39"/>
      <c r="G7" s="39"/>
      <c r="H7" s="39"/>
      <c r="I7" s="39"/>
      <c r="J7" s="39"/>
      <c r="K7" s="40"/>
      <c r="L7" s="31"/>
      <c r="M7" s="31"/>
      <c r="N7" s="31"/>
      <c r="O7" s="31"/>
      <c r="P7" s="31"/>
      <c r="Q7" s="31"/>
      <c r="R7" s="31"/>
      <c r="S7" s="31"/>
    </row>
    <row r="8" spans="1:19" ht="28.5" x14ac:dyDescent="0.45">
      <c r="A8" s="105"/>
      <c r="B8" s="108" t="s">
        <v>169</v>
      </c>
      <c r="C8" s="46"/>
      <c r="D8" s="46"/>
      <c r="E8" s="46"/>
      <c r="F8" s="46"/>
      <c r="G8" s="46"/>
      <c r="H8" s="46"/>
      <c r="I8" s="46"/>
      <c r="J8" s="46"/>
      <c r="K8" s="47"/>
      <c r="L8" s="31"/>
      <c r="M8" s="31"/>
      <c r="N8" s="31"/>
      <c r="O8" s="31"/>
      <c r="P8" s="31"/>
      <c r="Q8" s="31"/>
      <c r="R8" s="31"/>
      <c r="S8" s="31"/>
    </row>
    <row r="9" spans="1:19" ht="28.5" x14ac:dyDescent="0.45">
      <c r="A9" s="30"/>
      <c r="B9" s="26"/>
      <c r="C9" s="31"/>
      <c r="D9" s="31"/>
      <c r="E9" s="31"/>
      <c r="F9" s="31"/>
      <c r="G9" s="31"/>
      <c r="H9" s="31"/>
      <c r="I9" s="31"/>
      <c r="J9" s="31"/>
      <c r="K9" s="34"/>
      <c r="L9" s="31"/>
      <c r="M9" s="31"/>
      <c r="N9" s="31"/>
      <c r="O9" s="31"/>
      <c r="P9" s="31"/>
      <c r="Q9" s="31"/>
      <c r="R9" s="31"/>
      <c r="S9" s="31"/>
    </row>
    <row r="10" spans="1:19" ht="28.5" x14ac:dyDescent="0.45">
      <c r="A10" s="30"/>
      <c r="B10" s="26"/>
      <c r="C10" s="57"/>
      <c r="D10" s="137" t="s">
        <v>131</v>
      </c>
      <c r="E10" s="182" t="s">
        <v>15</v>
      </c>
      <c r="F10" s="31"/>
      <c r="G10" s="31"/>
      <c r="H10" s="31"/>
      <c r="I10" s="31"/>
      <c r="J10" s="31"/>
      <c r="K10" s="34"/>
      <c r="L10" s="31"/>
      <c r="M10" s="31"/>
      <c r="N10" s="31"/>
      <c r="O10" s="31"/>
      <c r="P10" s="31"/>
      <c r="Q10" s="31"/>
      <c r="R10" s="31"/>
      <c r="S10" s="31"/>
    </row>
    <row r="11" spans="1:19" ht="28.5" x14ac:dyDescent="0.45">
      <c r="A11" s="30"/>
      <c r="B11" s="26"/>
      <c r="C11" s="57"/>
      <c r="D11" s="137" t="s">
        <v>157</v>
      </c>
      <c r="E11" s="182" t="s">
        <v>5</v>
      </c>
      <c r="F11" s="35"/>
      <c r="G11" s="67"/>
      <c r="H11" s="31"/>
      <c r="I11" s="31"/>
      <c r="J11" s="31"/>
      <c r="K11" s="34"/>
      <c r="L11" s="31"/>
      <c r="M11" s="31"/>
      <c r="N11" s="31"/>
      <c r="O11" s="31"/>
      <c r="P11" s="31"/>
      <c r="Q11" s="31"/>
      <c r="R11" s="31"/>
      <c r="S11" s="31"/>
    </row>
    <row r="12" spans="1:19" ht="28.5" x14ac:dyDescent="0.45">
      <c r="A12" s="30"/>
      <c r="B12" s="26"/>
      <c r="C12" s="57"/>
      <c r="D12" s="138" t="s">
        <v>127</v>
      </c>
      <c r="E12" s="182" t="s">
        <v>130</v>
      </c>
      <c r="F12" s="57"/>
      <c r="G12" s="57"/>
      <c r="H12" s="31"/>
      <c r="I12" s="31"/>
      <c r="J12" s="31"/>
      <c r="K12" s="34"/>
      <c r="L12" s="31"/>
      <c r="M12" s="31"/>
      <c r="N12" s="31"/>
      <c r="O12" s="31"/>
      <c r="P12" s="31"/>
      <c r="Q12" s="31"/>
      <c r="R12" s="31"/>
      <c r="S12" s="31"/>
    </row>
    <row r="13" spans="1:19" ht="28.5" x14ac:dyDescent="0.45">
      <c r="A13" s="30"/>
      <c r="B13" s="26"/>
      <c r="C13" s="57"/>
      <c r="D13" s="139" t="s">
        <v>128</v>
      </c>
      <c r="E13" s="182" t="s">
        <v>68</v>
      </c>
      <c r="F13" s="57"/>
      <c r="G13" s="57"/>
      <c r="H13" s="31"/>
      <c r="I13" s="31"/>
      <c r="J13" s="31"/>
      <c r="K13" s="34"/>
      <c r="L13" s="31"/>
      <c r="M13" s="31"/>
      <c r="N13" s="31"/>
      <c r="O13" s="31"/>
      <c r="P13" s="31"/>
      <c r="Q13" s="31"/>
      <c r="R13" s="31"/>
      <c r="S13" s="31"/>
    </row>
    <row r="14" spans="1:19" ht="28.5" x14ac:dyDescent="0.45">
      <c r="A14" s="30"/>
      <c r="B14" s="26"/>
      <c r="C14" s="57"/>
      <c r="D14" s="139" t="s">
        <v>134</v>
      </c>
      <c r="E14" s="182" t="s">
        <v>165</v>
      </c>
      <c r="F14" s="57"/>
      <c r="G14" s="57"/>
      <c r="H14" s="31"/>
      <c r="I14" s="31"/>
      <c r="J14" s="31"/>
      <c r="K14" s="34"/>
      <c r="L14" s="31"/>
      <c r="M14" s="31"/>
      <c r="N14" s="31"/>
      <c r="O14" s="31"/>
      <c r="P14" s="31"/>
      <c r="Q14" s="31"/>
      <c r="R14" s="31"/>
      <c r="S14" s="31"/>
    </row>
    <row r="15" spans="1:19" ht="33" x14ac:dyDescent="0.45">
      <c r="A15" s="30"/>
      <c r="B15" s="26"/>
      <c r="C15" s="57"/>
      <c r="D15" s="139" t="s">
        <v>152</v>
      </c>
      <c r="E15" s="182" t="s">
        <v>150</v>
      </c>
      <c r="F15" s="57"/>
      <c r="G15" s="57"/>
      <c r="H15" s="31"/>
      <c r="I15" s="31"/>
      <c r="J15" s="31"/>
      <c r="K15" s="34"/>
      <c r="L15" s="31"/>
      <c r="M15" s="31"/>
      <c r="N15" s="31"/>
      <c r="O15" s="31"/>
      <c r="P15" s="31"/>
      <c r="Q15" s="31"/>
      <c r="R15" s="31"/>
      <c r="S15" s="31"/>
    </row>
    <row r="16" spans="1:19" x14ac:dyDescent="0.25">
      <c r="A16" s="30"/>
      <c r="B16" s="25"/>
      <c r="C16" s="31"/>
      <c r="D16" s="31"/>
      <c r="E16" s="31"/>
      <c r="F16" s="31"/>
      <c r="G16" s="31"/>
      <c r="H16" s="31"/>
      <c r="I16" s="31"/>
      <c r="J16" s="31"/>
      <c r="K16" s="34"/>
      <c r="L16" s="31"/>
      <c r="M16" s="31"/>
      <c r="N16" s="31"/>
      <c r="O16" s="31"/>
      <c r="P16" s="31"/>
      <c r="Q16" s="31"/>
      <c r="R16" s="31"/>
      <c r="S16" s="31"/>
    </row>
    <row r="17" spans="1:19" ht="26.25" x14ac:dyDescent="0.4">
      <c r="A17" s="30"/>
      <c r="B17" s="110"/>
      <c r="C17" s="31"/>
      <c r="D17" s="31"/>
      <c r="E17" s="31"/>
      <c r="F17" s="31"/>
      <c r="G17" s="31"/>
      <c r="H17" s="31"/>
      <c r="I17" s="31"/>
      <c r="J17" s="31"/>
      <c r="K17" s="34"/>
      <c r="L17" s="31"/>
      <c r="M17" s="31"/>
      <c r="N17" s="31"/>
      <c r="O17" s="31"/>
      <c r="P17" s="31"/>
      <c r="Q17" s="31"/>
      <c r="R17" s="31"/>
      <c r="S17" s="31"/>
    </row>
    <row r="18" spans="1:19" ht="27" thickBot="1" x14ac:dyDescent="0.45">
      <c r="A18" s="38"/>
      <c r="B18" s="111"/>
      <c r="C18" s="39"/>
      <c r="D18" s="39"/>
      <c r="E18" s="39"/>
      <c r="F18" s="39"/>
      <c r="G18" s="39"/>
      <c r="H18" s="39"/>
      <c r="I18" s="39"/>
      <c r="J18" s="39"/>
      <c r="K18" s="40"/>
      <c r="L18" s="31"/>
      <c r="M18" s="31"/>
      <c r="N18" s="31"/>
      <c r="O18" s="31"/>
      <c r="P18" s="31"/>
      <c r="Q18" s="31"/>
      <c r="R18" s="31"/>
      <c r="S18" s="31"/>
    </row>
    <row r="19" spans="1:19" ht="28.5" x14ac:dyDescent="0.45">
      <c r="A19" s="105"/>
      <c r="B19" s="108" t="s">
        <v>101</v>
      </c>
      <c r="C19" s="46"/>
      <c r="D19" s="46"/>
      <c r="E19" s="46"/>
      <c r="F19" s="46"/>
      <c r="G19" s="46"/>
      <c r="H19" s="46"/>
      <c r="I19" s="46"/>
      <c r="J19" s="46"/>
      <c r="K19" s="47"/>
      <c r="L19" s="31"/>
      <c r="M19" s="31"/>
      <c r="N19" s="31"/>
      <c r="O19" s="31"/>
      <c r="P19" s="31"/>
      <c r="Q19" s="31"/>
      <c r="R19" s="31"/>
      <c r="S19" s="31"/>
    </row>
    <row r="20" spans="1:19" ht="28.5" x14ac:dyDescent="0.45">
      <c r="A20" s="30"/>
      <c r="B20" s="26"/>
      <c r="C20" s="57" t="s">
        <v>153</v>
      </c>
      <c r="D20" s="57"/>
      <c r="E20" s="57"/>
      <c r="F20" s="31"/>
      <c r="G20" s="31"/>
      <c r="H20" s="31"/>
      <c r="I20" s="31"/>
      <c r="J20" s="31"/>
      <c r="K20" s="34"/>
      <c r="L20" s="31"/>
      <c r="M20" s="31"/>
      <c r="N20" s="31"/>
      <c r="O20" s="31"/>
      <c r="P20" s="31"/>
      <c r="Q20" s="31"/>
      <c r="R20" s="31"/>
      <c r="S20" s="31"/>
    </row>
    <row r="21" spans="1:19" ht="29.25" thickBot="1" x14ac:dyDescent="0.5">
      <c r="A21" s="30"/>
      <c r="B21" s="26"/>
      <c r="C21" s="57"/>
      <c r="D21" s="57"/>
      <c r="E21" s="35" t="str">
        <f>E10</f>
        <v>Amosite</v>
      </c>
      <c r="F21" s="31"/>
      <c r="G21" s="31"/>
      <c r="H21" s="31"/>
      <c r="I21" s="31"/>
      <c r="J21" s="31"/>
      <c r="K21" s="34"/>
      <c r="L21" s="31"/>
      <c r="M21" s="31"/>
      <c r="N21" s="31"/>
      <c r="O21" s="31"/>
      <c r="P21" s="31"/>
      <c r="Q21" s="31"/>
      <c r="R21" s="31"/>
      <c r="S21" s="31"/>
    </row>
    <row r="22" spans="1:19" ht="29.25" thickBot="1" x14ac:dyDescent="0.5">
      <c r="A22" s="30"/>
      <c r="B22" s="26"/>
      <c r="C22" s="57" t="s">
        <v>101</v>
      </c>
      <c r="D22" s="58" t="s">
        <v>103</v>
      </c>
      <c r="E22" s="184">
        <v>5.0000000000000001E-4</v>
      </c>
      <c r="F22" s="31"/>
      <c r="G22" s="31"/>
      <c r="H22" s="31"/>
      <c r="I22" s="31"/>
      <c r="J22" s="31"/>
      <c r="K22" s="34"/>
      <c r="L22" s="31"/>
      <c r="M22" s="31"/>
      <c r="N22" s="31"/>
      <c r="O22" s="31"/>
      <c r="P22" s="31"/>
      <c r="Q22" s="31"/>
      <c r="R22" s="31"/>
      <c r="S22" s="31"/>
    </row>
    <row r="23" spans="1:19" ht="15.75" thickBot="1" x14ac:dyDescent="0.3">
      <c r="A23" s="38"/>
      <c r="B23" s="109"/>
      <c r="C23" s="39"/>
      <c r="D23" s="39"/>
      <c r="E23" s="39"/>
      <c r="F23" s="39"/>
      <c r="G23" s="39"/>
      <c r="H23" s="39"/>
      <c r="I23" s="39"/>
      <c r="J23" s="39"/>
      <c r="K23" s="40"/>
      <c r="L23" s="31"/>
      <c r="M23" s="31"/>
      <c r="N23" s="31"/>
      <c r="O23" s="31"/>
      <c r="P23" s="31"/>
      <c r="Q23" s="31"/>
      <c r="R23" s="31"/>
      <c r="S23" s="31"/>
    </row>
    <row r="24" spans="1:19" s="20" customFormat="1" ht="28.5" x14ac:dyDescent="0.45">
      <c r="A24" s="112"/>
      <c r="B24" s="108" t="s">
        <v>104</v>
      </c>
      <c r="C24" s="41"/>
      <c r="D24" s="41"/>
      <c r="E24" s="41"/>
      <c r="F24" s="41"/>
      <c r="G24" s="41"/>
      <c r="H24" s="41"/>
      <c r="I24" s="41"/>
      <c r="J24" s="41"/>
      <c r="K24" s="42"/>
      <c r="L24" s="127"/>
      <c r="M24" s="127"/>
      <c r="N24" s="127"/>
      <c r="O24" s="127"/>
      <c r="P24" s="127"/>
      <c r="Q24" s="127"/>
      <c r="R24" s="127"/>
      <c r="S24" s="127"/>
    </row>
    <row r="25" spans="1:19" s="20" customFormat="1" x14ac:dyDescent="0.25">
      <c r="A25" s="37"/>
      <c r="B25" s="31"/>
      <c r="C25" s="25"/>
      <c r="D25" s="31"/>
      <c r="E25" s="31"/>
      <c r="F25" s="31"/>
      <c r="G25" s="31"/>
      <c r="H25" s="31"/>
      <c r="I25" s="31"/>
      <c r="K25" s="34"/>
      <c r="L25" s="127"/>
      <c r="M25" s="127"/>
      <c r="N25" s="127"/>
      <c r="O25" s="127"/>
      <c r="P25" s="127"/>
      <c r="Q25" s="127"/>
      <c r="R25" s="127"/>
      <c r="S25" s="127"/>
    </row>
    <row r="26" spans="1:19" s="20" customFormat="1" ht="97.5" customHeight="1" x14ac:dyDescent="0.25">
      <c r="A26" s="135"/>
      <c r="B26" s="137" t="s">
        <v>84</v>
      </c>
      <c r="C26" s="138" t="s">
        <v>101</v>
      </c>
      <c r="D26" s="191" t="s">
        <v>192</v>
      </c>
      <c r="E26" s="192"/>
      <c r="F26" s="193"/>
      <c r="G26" s="140" t="s">
        <v>105</v>
      </c>
      <c r="H26" s="140" t="s">
        <v>170</v>
      </c>
      <c r="I26" s="140" t="s">
        <v>147</v>
      </c>
      <c r="J26" s="27"/>
      <c r="K26" s="100"/>
      <c r="L26" s="127"/>
      <c r="M26" s="127"/>
      <c r="N26" s="127"/>
      <c r="O26" s="127"/>
      <c r="P26" s="127"/>
      <c r="Q26" s="127"/>
      <c r="R26" s="127"/>
      <c r="S26" s="127"/>
    </row>
    <row r="27" spans="1:19" s="20" customFormat="1" x14ac:dyDescent="0.25">
      <c r="A27" s="135">
        <v>0</v>
      </c>
      <c r="B27" s="138"/>
      <c r="C27" s="138" t="s">
        <v>103</v>
      </c>
      <c r="D27" s="138" t="s">
        <v>106</v>
      </c>
      <c r="E27" s="138" t="s">
        <v>107</v>
      </c>
      <c r="F27" s="138" t="s">
        <v>108</v>
      </c>
      <c r="G27" s="138" t="s">
        <v>151</v>
      </c>
      <c r="H27" s="138" t="s">
        <v>146</v>
      </c>
      <c r="I27" s="141" t="s">
        <v>109</v>
      </c>
      <c r="J27" s="35"/>
      <c r="K27" s="100"/>
      <c r="L27" s="127"/>
      <c r="M27" s="127"/>
      <c r="N27" s="127"/>
      <c r="O27" s="127"/>
      <c r="P27" s="127"/>
      <c r="Q27" s="127"/>
      <c r="R27" s="127"/>
      <c r="S27" s="127"/>
    </row>
    <row r="28" spans="1:19" s="20" customFormat="1" x14ac:dyDescent="0.25">
      <c r="A28" s="135">
        <v>1</v>
      </c>
      <c r="B28" s="142" t="s">
        <v>85</v>
      </c>
      <c r="C28" s="143">
        <f t="shared" ref="C28:C39" si="0">$E$22</f>
        <v>5.0000000000000001E-4</v>
      </c>
      <c r="D28" s="185"/>
      <c r="E28" s="185"/>
      <c r="F28" s="185"/>
      <c r="G28" s="144">
        <f>D28*E28</f>
        <v>0</v>
      </c>
      <c r="H28" s="144">
        <f>IF(C28*$G28*$F28/2000=0,0,C28*$G28*$F28/2000)</f>
        <v>0</v>
      </c>
      <c r="I28" s="145">
        <f>SUM($H$28:H28)</f>
        <v>0</v>
      </c>
      <c r="J28" s="35"/>
      <c r="K28" s="100"/>
      <c r="L28" s="127"/>
      <c r="M28" s="127"/>
      <c r="N28" s="127"/>
      <c r="O28" s="127"/>
      <c r="P28" s="127"/>
      <c r="Q28" s="127"/>
      <c r="R28" s="127"/>
      <c r="S28" s="127"/>
    </row>
    <row r="29" spans="1:19" s="20" customFormat="1" x14ac:dyDescent="0.25">
      <c r="A29" s="135">
        <v>2</v>
      </c>
      <c r="B29" s="142" t="s">
        <v>86</v>
      </c>
      <c r="C29" s="143">
        <f t="shared" si="0"/>
        <v>5.0000000000000001E-4</v>
      </c>
      <c r="D29" s="185">
        <v>1</v>
      </c>
      <c r="E29" s="185">
        <v>4</v>
      </c>
      <c r="F29" s="185">
        <v>5</v>
      </c>
      <c r="G29" s="144">
        <f t="shared" ref="G29:G39" si="1">D29*E29</f>
        <v>4</v>
      </c>
      <c r="H29" s="144">
        <f t="shared" ref="H29:H39" si="2">IF(C29*$G29*$F29/2000=0,0,C29*$G29*$F29/2000)</f>
        <v>5.0000000000000004E-6</v>
      </c>
      <c r="I29" s="145">
        <f>SUM($H$28:H29)</f>
        <v>5.0000000000000004E-6</v>
      </c>
      <c r="J29" s="35"/>
      <c r="K29" s="100"/>
      <c r="L29" s="127"/>
      <c r="M29" s="127"/>
      <c r="N29" s="127"/>
      <c r="O29" s="127"/>
      <c r="P29" s="127"/>
      <c r="Q29" s="127"/>
      <c r="R29" s="127"/>
      <c r="S29" s="127"/>
    </row>
    <row r="30" spans="1:19" s="20" customFormat="1" x14ac:dyDescent="0.25">
      <c r="A30" s="135">
        <v>3</v>
      </c>
      <c r="B30" s="142" t="s">
        <v>87</v>
      </c>
      <c r="C30" s="143">
        <f t="shared" si="0"/>
        <v>5.0000000000000001E-4</v>
      </c>
      <c r="D30" s="185"/>
      <c r="E30" s="185"/>
      <c r="F30" s="185"/>
      <c r="G30" s="144">
        <f t="shared" si="1"/>
        <v>0</v>
      </c>
      <c r="H30" s="144">
        <f t="shared" si="2"/>
        <v>0</v>
      </c>
      <c r="I30" s="145">
        <f>SUM($H$28:H30)</f>
        <v>5.0000000000000004E-6</v>
      </c>
      <c r="J30" s="35"/>
      <c r="K30" s="100"/>
      <c r="L30" s="127"/>
      <c r="M30" s="127"/>
      <c r="N30" s="127"/>
      <c r="O30" s="127"/>
      <c r="P30" s="127"/>
      <c r="Q30" s="127"/>
      <c r="R30" s="127"/>
      <c r="S30" s="127"/>
    </row>
    <row r="31" spans="1:19" s="20" customFormat="1" x14ac:dyDescent="0.25">
      <c r="A31" s="135">
        <v>4</v>
      </c>
      <c r="B31" s="142" t="s">
        <v>88</v>
      </c>
      <c r="C31" s="143">
        <f t="shared" si="0"/>
        <v>5.0000000000000001E-4</v>
      </c>
      <c r="D31" s="185"/>
      <c r="E31" s="185"/>
      <c r="F31" s="185"/>
      <c r="G31" s="144">
        <f t="shared" si="1"/>
        <v>0</v>
      </c>
      <c r="H31" s="144">
        <f t="shared" si="2"/>
        <v>0</v>
      </c>
      <c r="I31" s="145">
        <f>SUM($H$28:H31)</f>
        <v>5.0000000000000004E-6</v>
      </c>
      <c r="J31" s="35"/>
      <c r="K31" s="100"/>
      <c r="L31" s="127"/>
      <c r="M31" s="127"/>
      <c r="N31" s="127"/>
      <c r="O31" s="127"/>
      <c r="P31" s="127"/>
      <c r="Q31" s="127"/>
      <c r="R31" s="127"/>
      <c r="S31" s="127"/>
    </row>
    <row r="32" spans="1:19" s="20" customFormat="1" x14ac:dyDescent="0.25">
      <c r="A32" s="135">
        <v>5</v>
      </c>
      <c r="B32" s="142" t="s">
        <v>89</v>
      </c>
      <c r="C32" s="143">
        <f t="shared" si="0"/>
        <v>5.0000000000000001E-4</v>
      </c>
      <c r="D32" s="185"/>
      <c r="E32" s="185"/>
      <c r="F32" s="185"/>
      <c r="G32" s="144">
        <f t="shared" si="1"/>
        <v>0</v>
      </c>
      <c r="H32" s="144">
        <f t="shared" si="2"/>
        <v>0</v>
      </c>
      <c r="I32" s="145">
        <f>SUM($H$28:H32)</f>
        <v>5.0000000000000004E-6</v>
      </c>
      <c r="J32" s="35"/>
      <c r="K32" s="100"/>
      <c r="L32" s="127"/>
      <c r="M32" s="127"/>
      <c r="N32" s="127"/>
      <c r="O32" s="127"/>
      <c r="P32" s="127"/>
      <c r="Q32" s="127"/>
      <c r="R32" s="127"/>
      <c r="S32" s="127"/>
    </row>
    <row r="33" spans="1:82" s="20" customFormat="1" x14ac:dyDescent="0.25">
      <c r="A33" s="135">
        <v>6</v>
      </c>
      <c r="B33" s="142" t="s">
        <v>90</v>
      </c>
      <c r="C33" s="143">
        <f t="shared" si="0"/>
        <v>5.0000000000000001E-4</v>
      </c>
      <c r="D33" s="185"/>
      <c r="E33" s="185"/>
      <c r="F33" s="185"/>
      <c r="G33" s="144">
        <f t="shared" si="1"/>
        <v>0</v>
      </c>
      <c r="H33" s="144">
        <f t="shared" si="2"/>
        <v>0</v>
      </c>
      <c r="I33" s="145">
        <f>SUM($H$28:H33)</f>
        <v>5.0000000000000004E-6</v>
      </c>
      <c r="J33" s="35"/>
      <c r="K33" s="100"/>
      <c r="L33" s="127"/>
      <c r="M33" s="127"/>
      <c r="N33" s="127"/>
      <c r="O33" s="127"/>
      <c r="P33" s="127"/>
      <c r="Q33" s="127"/>
      <c r="R33" s="127"/>
      <c r="S33" s="127"/>
    </row>
    <row r="34" spans="1:82" s="20" customFormat="1" x14ac:dyDescent="0.25">
      <c r="A34" s="135">
        <v>7</v>
      </c>
      <c r="B34" s="142" t="s">
        <v>91</v>
      </c>
      <c r="C34" s="143">
        <f t="shared" si="0"/>
        <v>5.0000000000000001E-4</v>
      </c>
      <c r="D34" s="185"/>
      <c r="E34" s="185"/>
      <c r="F34" s="185"/>
      <c r="G34" s="144">
        <f t="shared" si="1"/>
        <v>0</v>
      </c>
      <c r="H34" s="144">
        <f t="shared" si="2"/>
        <v>0</v>
      </c>
      <c r="I34" s="145">
        <f>SUM($H$28:H34)</f>
        <v>5.0000000000000004E-6</v>
      </c>
      <c r="J34" s="35"/>
      <c r="K34" s="100"/>
      <c r="L34" s="127"/>
      <c r="M34" s="127"/>
      <c r="N34" s="127"/>
      <c r="O34" s="127"/>
      <c r="P34" s="127"/>
      <c r="Q34" s="127"/>
      <c r="R34" s="127"/>
      <c r="S34" s="127"/>
    </row>
    <row r="35" spans="1:82" s="20" customFormat="1" x14ac:dyDescent="0.25">
      <c r="A35" s="135">
        <v>8</v>
      </c>
      <c r="B35" s="142" t="s">
        <v>92</v>
      </c>
      <c r="C35" s="143">
        <f t="shared" si="0"/>
        <v>5.0000000000000001E-4</v>
      </c>
      <c r="D35" s="185"/>
      <c r="E35" s="185"/>
      <c r="F35" s="185"/>
      <c r="G35" s="144">
        <f t="shared" si="1"/>
        <v>0</v>
      </c>
      <c r="H35" s="144">
        <f t="shared" si="2"/>
        <v>0</v>
      </c>
      <c r="I35" s="145">
        <f>SUM($H$28:H35)</f>
        <v>5.0000000000000004E-6</v>
      </c>
      <c r="J35" s="35"/>
      <c r="K35" s="100"/>
      <c r="L35" s="127"/>
      <c r="M35" s="127"/>
      <c r="N35" s="127"/>
      <c r="O35" s="127"/>
      <c r="P35" s="127"/>
      <c r="Q35" s="127"/>
      <c r="R35" s="127"/>
      <c r="S35" s="127"/>
    </row>
    <row r="36" spans="1:82" x14ac:dyDescent="0.25">
      <c r="A36" s="136">
        <v>9</v>
      </c>
      <c r="B36" s="142" t="s">
        <v>93</v>
      </c>
      <c r="C36" s="143">
        <f t="shared" si="0"/>
        <v>5.0000000000000001E-4</v>
      </c>
      <c r="D36" s="185"/>
      <c r="E36" s="185"/>
      <c r="F36" s="185"/>
      <c r="G36" s="144">
        <f t="shared" si="1"/>
        <v>0</v>
      </c>
      <c r="H36" s="144">
        <f t="shared" si="2"/>
        <v>0</v>
      </c>
      <c r="I36" s="145">
        <f>SUM($H$28:H36)</f>
        <v>5.0000000000000004E-6</v>
      </c>
      <c r="J36" s="35"/>
      <c r="K36" s="34"/>
      <c r="L36" s="31"/>
      <c r="M36" s="31"/>
      <c r="N36" s="31"/>
      <c r="O36" s="31"/>
      <c r="P36" s="31"/>
      <c r="Q36" s="31"/>
      <c r="R36" s="31"/>
      <c r="S36" s="31"/>
    </row>
    <row r="37" spans="1:82" x14ac:dyDescent="0.25">
      <c r="A37" s="136">
        <v>10</v>
      </c>
      <c r="B37" s="142" t="s">
        <v>94</v>
      </c>
      <c r="C37" s="143">
        <f t="shared" si="0"/>
        <v>5.0000000000000001E-4</v>
      </c>
      <c r="D37" s="185"/>
      <c r="E37" s="185"/>
      <c r="F37" s="185"/>
      <c r="G37" s="144">
        <f t="shared" si="1"/>
        <v>0</v>
      </c>
      <c r="H37" s="144">
        <f t="shared" si="2"/>
        <v>0</v>
      </c>
      <c r="I37" s="145">
        <f>SUM($H$28:H37)</f>
        <v>5.0000000000000004E-6</v>
      </c>
      <c r="J37" s="35"/>
      <c r="K37" s="34"/>
      <c r="L37" s="31"/>
      <c r="M37" s="31"/>
      <c r="N37" s="31"/>
      <c r="O37" s="31"/>
      <c r="P37" s="31"/>
      <c r="Q37" s="31"/>
      <c r="R37" s="31"/>
      <c r="S37" s="31"/>
    </row>
    <row r="38" spans="1:82" x14ac:dyDescent="0.25">
      <c r="A38" s="136">
        <v>11</v>
      </c>
      <c r="B38" s="142" t="s">
        <v>95</v>
      </c>
      <c r="C38" s="143">
        <f t="shared" si="0"/>
        <v>5.0000000000000001E-4</v>
      </c>
      <c r="D38" s="185"/>
      <c r="E38" s="185"/>
      <c r="F38" s="185"/>
      <c r="G38" s="144">
        <f t="shared" si="1"/>
        <v>0</v>
      </c>
      <c r="H38" s="144">
        <f t="shared" si="2"/>
        <v>0</v>
      </c>
      <c r="I38" s="145">
        <f>SUM($H$28:H38)</f>
        <v>5.0000000000000004E-6</v>
      </c>
      <c r="J38" s="35"/>
      <c r="K38" s="34"/>
      <c r="L38" s="31"/>
      <c r="M38" s="31"/>
      <c r="N38" s="31"/>
      <c r="O38" s="31"/>
      <c r="P38" s="31"/>
      <c r="Q38" s="31"/>
      <c r="R38" s="31"/>
      <c r="S38" s="31"/>
    </row>
    <row r="39" spans="1:82" x14ac:dyDescent="0.25">
      <c r="A39" s="136">
        <v>12</v>
      </c>
      <c r="B39" s="142" t="s">
        <v>96</v>
      </c>
      <c r="C39" s="143">
        <f t="shared" si="0"/>
        <v>5.0000000000000001E-4</v>
      </c>
      <c r="D39" s="185"/>
      <c r="E39" s="185"/>
      <c r="F39" s="185"/>
      <c r="G39" s="144">
        <f t="shared" si="1"/>
        <v>0</v>
      </c>
      <c r="H39" s="144">
        <f t="shared" si="2"/>
        <v>0</v>
      </c>
      <c r="I39" s="145">
        <f>SUM($H$28:H39)</f>
        <v>5.0000000000000004E-6</v>
      </c>
      <c r="J39" s="35"/>
      <c r="K39" s="34"/>
      <c r="L39" s="31"/>
      <c r="M39" s="31"/>
      <c r="N39" s="31"/>
      <c r="O39" s="31"/>
      <c r="P39" s="31"/>
      <c r="Q39" s="31"/>
      <c r="R39" s="31"/>
      <c r="S39" s="31"/>
    </row>
    <row r="40" spans="1:82" x14ac:dyDescent="0.25">
      <c r="A40" s="136"/>
      <c r="B40" s="146"/>
      <c r="C40" s="146"/>
      <c r="D40" s="146"/>
      <c r="E40" s="146"/>
      <c r="F40" s="146"/>
      <c r="G40" s="146"/>
      <c r="H40" s="147"/>
      <c r="I40" s="146"/>
      <c r="J40" s="31"/>
      <c r="K40" s="34"/>
      <c r="L40" s="31"/>
      <c r="M40" s="31"/>
      <c r="N40" s="31"/>
      <c r="O40" s="31"/>
      <c r="P40" s="31"/>
      <c r="Q40" s="31"/>
      <c r="R40" s="31"/>
      <c r="S40" s="31"/>
    </row>
    <row r="41" spans="1:82" x14ac:dyDescent="0.25">
      <c r="A41" s="30"/>
      <c r="B41" s="31"/>
      <c r="C41" s="31"/>
      <c r="D41" s="31"/>
      <c r="E41" s="31"/>
      <c r="F41" s="31"/>
      <c r="G41" s="31"/>
      <c r="H41" s="31"/>
      <c r="I41" s="31"/>
      <c r="J41" s="31"/>
      <c r="K41" s="34"/>
      <c r="L41" s="31"/>
      <c r="M41" s="31"/>
      <c r="N41" s="31"/>
      <c r="O41" s="31"/>
      <c r="P41" s="31"/>
      <c r="Q41" s="31"/>
      <c r="R41" s="31"/>
      <c r="S41" s="31"/>
    </row>
    <row r="42" spans="1:82" x14ac:dyDescent="0.25">
      <c r="A42" s="30"/>
      <c r="B42" s="31"/>
      <c r="C42" s="31"/>
      <c r="D42" s="31"/>
      <c r="E42" s="31"/>
      <c r="F42" s="31"/>
      <c r="G42" s="31"/>
      <c r="H42" s="31"/>
      <c r="I42" s="31"/>
      <c r="J42" s="31"/>
      <c r="K42" s="34"/>
      <c r="L42" s="31"/>
      <c r="M42" s="31"/>
      <c r="N42" s="31"/>
      <c r="O42" s="31"/>
      <c r="P42" s="31"/>
      <c r="Q42" s="31"/>
      <c r="R42" s="31"/>
      <c r="S42" s="31"/>
    </row>
    <row r="43" spans="1:82" ht="24" thickBot="1" x14ac:dyDescent="0.4">
      <c r="A43" s="38"/>
      <c r="B43" s="39"/>
      <c r="C43" s="39"/>
      <c r="D43" s="39"/>
      <c r="E43" s="39"/>
      <c r="F43" s="39"/>
      <c r="G43" s="39"/>
      <c r="H43" s="39"/>
      <c r="I43" s="43"/>
      <c r="J43" s="43"/>
      <c r="K43" s="44"/>
      <c r="L43" s="129"/>
      <c r="M43" s="129"/>
      <c r="N43" s="129"/>
      <c r="O43" s="129"/>
      <c r="P43" s="129"/>
      <c r="Q43" s="129"/>
      <c r="R43" s="129"/>
      <c r="S43" s="129"/>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row>
    <row r="44" spans="1:82" s="24" customFormat="1" ht="28.5" x14ac:dyDescent="0.45">
      <c r="A44" s="113"/>
      <c r="B44" s="108" t="s">
        <v>110</v>
      </c>
      <c r="C44" s="28"/>
      <c r="D44" s="28"/>
      <c r="E44" s="28"/>
      <c r="F44" s="28"/>
      <c r="G44" s="28"/>
      <c r="H44" s="28"/>
      <c r="I44" s="28"/>
      <c r="J44" s="28"/>
      <c r="K44" s="29"/>
      <c r="L44" s="129"/>
      <c r="M44" s="129"/>
      <c r="N44" s="129"/>
      <c r="O44" s="129"/>
      <c r="P44" s="129"/>
      <c r="Q44" s="129"/>
      <c r="R44" s="129"/>
      <c r="S44" s="129"/>
    </row>
    <row r="45" spans="1:82" s="24" customFormat="1" ht="28.5" x14ac:dyDescent="0.45">
      <c r="A45" s="148"/>
      <c r="B45" s="26"/>
      <c r="C45" s="129"/>
      <c r="D45" s="129"/>
      <c r="E45" s="129"/>
      <c r="F45" s="129"/>
      <c r="G45" s="129"/>
      <c r="H45" s="129"/>
      <c r="I45" s="129"/>
      <c r="J45" s="129"/>
      <c r="K45" s="166"/>
      <c r="L45" s="129"/>
      <c r="M45" s="129"/>
      <c r="N45" s="129"/>
      <c r="O45" s="129"/>
      <c r="P45" s="129"/>
      <c r="Q45" s="129"/>
      <c r="R45" s="129"/>
      <c r="S45" s="129"/>
    </row>
    <row r="46" spans="1:82" x14ac:dyDescent="0.25">
      <c r="A46" s="30"/>
      <c r="B46" s="31"/>
      <c r="C46" s="31"/>
      <c r="D46" s="31"/>
      <c r="E46" s="31"/>
      <c r="F46" s="31"/>
      <c r="G46" s="31"/>
      <c r="H46" s="31"/>
      <c r="I46" s="31"/>
      <c r="J46" s="31"/>
      <c r="K46" s="34"/>
      <c r="L46" s="31"/>
      <c r="M46" s="32"/>
      <c r="N46" s="33"/>
      <c r="O46" s="31"/>
      <c r="P46" s="31"/>
      <c r="Q46" s="31"/>
      <c r="R46" s="31"/>
      <c r="S46" s="31"/>
    </row>
    <row r="47" spans="1:82" x14ac:dyDescent="0.25">
      <c r="A47" s="30"/>
      <c r="B47" s="31"/>
      <c r="C47" s="31"/>
      <c r="D47" s="31"/>
      <c r="E47" s="31"/>
      <c r="F47" s="31"/>
      <c r="G47" s="31"/>
      <c r="H47" s="31"/>
      <c r="I47" s="31"/>
      <c r="J47" s="31"/>
      <c r="K47" s="34"/>
      <c r="L47" s="31"/>
      <c r="M47" s="32"/>
      <c r="N47" s="33"/>
      <c r="O47" s="31"/>
      <c r="P47" s="31"/>
      <c r="Q47" s="31"/>
      <c r="R47" s="31"/>
      <c r="S47" s="31"/>
    </row>
    <row r="48" spans="1:82" ht="18" x14ac:dyDescent="0.35">
      <c r="A48" s="30"/>
      <c r="B48" s="31"/>
      <c r="C48" s="149" t="s">
        <v>181</v>
      </c>
      <c r="D48" s="57" t="s">
        <v>154</v>
      </c>
      <c r="E48" s="31"/>
      <c r="F48" s="31"/>
      <c r="G48" s="149" t="s">
        <v>171</v>
      </c>
      <c r="H48" s="150" t="s">
        <v>144</v>
      </c>
      <c r="I48" s="31"/>
      <c r="J48" s="31"/>
      <c r="K48" s="34"/>
      <c r="L48" s="25"/>
      <c r="M48" s="25"/>
      <c r="N48" s="33"/>
      <c r="O48" s="31"/>
      <c r="P48" s="31"/>
      <c r="Q48" s="31"/>
      <c r="R48" s="31"/>
      <c r="S48" s="31"/>
    </row>
    <row r="49" spans="1:19" s="21" customFormat="1" ht="18" x14ac:dyDescent="0.35">
      <c r="A49" s="70"/>
      <c r="B49" s="58"/>
      <c r="C49" s="149" t="s">
        <v>182</v>
      </c>
      <c r="D49" s="57" t="s">
        <v>111</v>
      </c>
      <c r="E49" s="57"/>
      <c r="F49" s="57"/>
      <c r="G49" s="149" t="s">
        <v>172</v>
      </c>
      <c r="H49" s="150" t="s">
        <v>143</v>
      </c>
      <c r="I49" s="57"/>
      <c r="J49" s="57"/>
      <c r="K49" s="60"/>
      <c r="L49" s="57"/>
      <c r="M49" s="57"/>
      <c r="N49" s="57"/>
      <c r="O49" s="59"/>
      <c r="P49" s="57"/>
      <c r="Q49" s="57"/>
      <c r="R49" s="57"/>
      <c r="S49" s="57"/>
    </row>
    <row r="50" spans="1:19" s="21" customFormat="1" ht="18" x14ac:dyDescent="0.35">
      <c r="A50" s="70"/>
      <c r="B50" s="58"/>
      <c r="C50" s="149" t="s">
        <v>183</v>
      </c>
      <c r="D50" s="57" t="s">
        <v>112</v>
      </c>
      <c r="E50" s="57"/>
      <c r="F50" s="57"/>
      <c r="G50" s="57"/>
      <c r="H50" s="57"/>
      <c r="I50" s="61"/>
      <c r="J50" s="57"/>
      <c r="K50" s="60"/>
      <c r="L50" s="57"/>
      <c r="M50" s="57"/>
      <c r="N50" s="61"/>
      <c r="O50" s="59"/>
      <c r="P50" s="57"/>
      <c r="Q50" s="57"/>
      <c r="R50" s="57"/>
      <c r="S50" s="57"/>
    </row>
    <row r="51" spans="1:19" s="21" customFormat="1" x14ac:dyDescent="0.25">
      <c r="A51" s="70"/>
      <c r="B51" s="58"/>
      <c r="C51" s="149" t="s">
        <v>113</v>
      </c>
      <c r="D51" s="57" t="s">
        <v>114</v>
      </c>
      <c r="E51" s="57"/>
      <c r="F51" s="57"/>
      <c r="I51" s="61"/>
      <c r="J51" s="57"/>
      <c r="K51" s="60"/>
      <c r="L51" s="57"/>
      <c r="M51" s="57"/>
      <c r="N51" s="61"/>
      <c r="O51" s="59"/>
      <c r="P51" s="57"/>
      <c r="Q51" s="57"/>
      <c r="R51" s="57"/>
      <c r="S51" s="57"/>
    </row>
    <row r="52" spans="1:19" s="21" customFormat="1" x14ac:dyDescent="0.25">
      <c r="A52" s="70"/>
      <c r="B52" s="58"/>
      <c r="C52" s="149" t="s">
        <v>1</v>
      </c>
      <c r="D52" s="57" t="s">
        <v>115</v>
      </c>
      <c r="E52" s="57"/>
      <c r="F52" s="57"/>
      <c r="I52" s="61"/>
      <c r="J52" s="57"/>
      <c r="K52" s="60"/>
      <c r="L52" s="57"/>
      <c r="M52" s="57"/>
      <c r="N52" s="61"/>
      <c r="O52" s="59"/>
      <c r="P52" s="57"/>
      <c r="Q52" s="57"/>
      <c r="R52" s="57"/>
      <c r="S52" s="57"/>
    </row>
    <row r="53" spans="1:19" s="21" customFormat="1" x14ac:dyDescent="0.25">
      <c r="A53" s="70"/>
      <c r="B53" s="58"/>
      <c r="C53" s="149" t="s">
        <v>3</v>
      </c>
      <c r="D53" s="57" t="s">
        <v>116</v>
      </c>
      <c r="E53" s="57"/>
      <c r="F53" s="57"/>
      <c r="G53" s="57"/>
      <c r="H53" s="57"/>
      <c r="I53" s="61"/>
      <c r="J53" s="57"/>
      <c r="K53" s="60"/>
      <c r="L53" s="57"/>
      <c r="M53" s="57"/>
      <c r="N53" s="61"/>
      <c r="O53" s="59"/>
      <c r="P53" s="57"/>
      <c r="Q53" s="57"/>
      <c r="R53" s="57"/>
      <c r="S53" s="57"/>
    </row>
    <row r="54" spans="1:19" s="21" customFormat="1" x14ac:dyDescent="0.25">
      <c r="A54" s="70"/>
      <c r="B54" s="58"/>
      <c r="E54" s="57"/>
      <c r="F54" s="57"/>
      <c r="I54" s="57"/>
      <c r="J54" s="57"/>
      <c r="K54" s="60"/>
      <c r="L54" s="57"/>
      <c r="M54" s="57"/>
      <c r="N54" s="61"/>
      <c r="O54" s="59"/>
      <c r="P54" s="57"/>
      <c r="Q54" s="57"/>
      <c r="R54" s="57"/>
      <c r="S54" s="57"/>
    </row>
    <row r="55" spans="1:19" s="21" customFormat="1" x14ac:dyDescent="0.25">
      <c r="A55" s="70"/>
      <c r="B55" s="58"/>
      <c r="C55" s="57"/>
      <c r="D55" s="57"/>
      <c r="E55" s="57"/>
      <c r="F55" s="57"/>
      <c r="G55" s="57"/>
      <c r="H55" s="57"/>
      <c r="I55" s="57"/>
      <c r="J55" s="57"/>
      <c r="K55" s="60"/>
      <c r="L55" s="57"/>
      <c r="M55" s="57"/>
      <c r="N55" s="61"/>
      <c r="O55" s="59"/>
      <c r="P55" s="57"/>
      <c r="Q55" s="57"/>
      <c r="R55" s="57"/>
      <c r="S55" s="57"/>
    </row>
    <row r="56" spans="1:19" ht="15" customHeight="1" x14ac:dyDescent="0.25">
      <c r="A56" s="30"/>
      <c r="B56" s="125" t="s">
        <v>117</v>
      </c>
      <c r="C56" s="126"/>
      <c r="D56" s="126"/>
      <c r="E56" s="126"/>
      <c r="F56" s="126"/>
      <c r="G56" s="126"/>
      <c r="H56" s="126"/>
      <c r="I56" s="57"/>
      <c r="J56" s="57"/>
      <c r="K56" s="60"/>
      <c r="L56" s="57"/>
      <c r="M56" s="57"/>
      <c r="N56" s="57"/>
      <c r="O56" s="57"/>
      <c r="P56" s="57"/>
      <c r="Q56" s="57"/>
      <c r="R56" s="57"/>
      <c r="S56" s="57"/>
    </row>
    <row r="57" spans="1:19" x14ac:dyDescent="0.25">
      <c r="A57" s="30"/>
      <c r="B57" s="104" t="s">
        <v>173</v>
      </c>
      <c r="C57" s="127"/>
      <c r="D57" s="58"/>
      <c r="E57" s="58"/>
      <c r="F57" s="58"/>
      <c r="I57" s="20"/>
      <c r="J57" s="20"/>
      <c r="K57" s="100"/>
      <c r="L57" s="57"/>
      <c r="M57" s="57"/>
      <c r="N57" s="57"/>
      <c r="O57" s="57"/>
      <c r="P57" s="57"/>
      <c r="Q57" s="57"/>
      <c r="R57" s="57"/>
      <c r="S57" s="57"/>
    </row>
    <row r="58" spans="1:19" x14ac:dyDescent="0.25">
      <c r="A58" s="30"/>
      <c r="B58" s="94"/>
      <c r="C58" s="57"/>
      <c r="D58" s="57"/>
      <c r="E58" s="57"/>
      <c r="F58" s="57"/>
      <c r="G58" s="104"/>
      <c r="H58" s="20"/>
      <c r="I58" s="20"/>
      <c r="J58" s="20"/>
      <c r="K58" s="100"/>
      <c r="L58" s="57"/>
      <c r="M58" s="57"/>
      <c r="N58" s="57"/>
      <c r="O58" s="57"/>
      <c r="P58" s="57"/>
      <c r="Q58" s="57"/>
      <c r="R58" s="57"/>
      <c r="S58" s="57"/>
    </row>
    <row r="59" spans="1:19" x14ac:dyDescent="0.25">
      <c r="A59" s="30"/>
      <c r="B59" s="57"/>
      <c r="C59" s="57"/>
      <c r="D59" s="191" t="s">
        <v>118</v>
      </c>
      <c r="E59" s="197"/>
      <c r="F59" s="197"/>
      <c r="G59" s="197"/>
      <c r="H59" s="193"/>
      <c r="I59" s="95"/>
      <c r="J59" s="95"/>
      <c r="K59" s="60"/>
      <c r="L59" s="95"/>
      <c r="M59" s="95"/>
      <c r="N59" s="95"/>
      <c r="O59" s="95"/>
      <c r="P59" s="57"/>
      <c r="Q59" s="57"/>
      <c r="R59" s="57"/>
      <c r="S59" s="57"/>
    </row>
    <row r="60" spans="1:19" x14ac:dyDescent="0.25">
      <c r="A60" s="30"/>
      <c r="B60" s="57"/>
      <c r="C60" s="57"/>
      <c r="D60" s="137" t="s">
        <v>131</v>
      </c>
      <c r="E60" s="137" t="str">
        <f>$E$10</f>
        <v>Amosite</v>
      </c>
      <c r="F60" s="198" t="s">
        <v>133</v>
      </c>
      <c r="G60" s="199"/>
      <c r="H60" s="199"/>
      <c r="I60" s="31"/>
      <c r="J60" s="31"/>
      <c r="K60" s="34"/>
      <c r="L60" s="31"/>
      <c r="M60" s="31"/>
      <c r="N60" s="31"/>
      <c r="O60" s="31"/>
      <c r="P60" s="31"/>
      <c r="Q60" s="31"/>
      <c r="R60" s="31"/>
      <c r="S60" s="57"/>
    </row>
    <row r="61" spans="1:19" s="63" customFormat="1" ht="38.25" customHeight="1" x14ac:dyDescent="0.35">
      <c r="A61" s="64"/>
      <c r="B61" s="65"/>
      <c r="C61" s="65"/>
      <c r="D61" s="151" t="s">
        <v>174</v>
      </c>
      <c r="E61" s="152">
        <f>VLOOKUP($E$10&amp;" - "&amp;$E$11,'Parameter look up and reference'!$A$4:$F$11,2,0)</f>
        <v>0.1</v>
      </c>
      <c r="F61" s="186" t="str">
        <f>VLOOKUP( $E$11&amp;" reference",'Parameter look up and reference'!$A$4:$F$11,2,0)</f>
        <v xml:space="preserve">H&amp;D 2000  Table 1  Mesothelioma risk expressed as percentage total expected mortality per f/ml.yr - Adjusted for age at first exposure. </v>
      </c>
      <c r="G61" s="187"/>
      <c r="H61" s="187"/>
      <c r="I61" s="31"/>
      <c r="J61" s="31"/>
      <c r="K61" s="34"/>
      <c r="L61" s="31"/>
      <c r="M61" s="31"/>
      <c r="N61" s="31"/>
      <c r="O61" s="31"/>
      <c r="P61" s="31"/>
      <c r="Q61" s="31"/>
      <c r="R61" s="31"/>
      <c r="S61" s="65"/>
    </row>
    <row r="62" spans="1:19" s="63" customFormat="1" x14ac:dyDescent="0.25">
      <c r="A62" s="64"/>
      <c r="B62" s="65"/>
      <c r="C62" s="65"/>
      <c r="D62" s="151" t="s">
        <v>149</v>
      </c>
      <c r="E62" s="152">
        <f>VLOOKUP($E$10&amp;" - "&amp;$E$11,'Parameter look up and reference'!$A$4:$F$11,3,0)</f>
        <v>1</v>
      </c>
      <c r="F62" s="186" t="str">
        <f>VLOOKUP( $E$11&amp;" reference",'Parameter look up and reference'!$A$4:$F$11,3,0)</f>
        <v>Linear model</v>
      </c>
      <c r="G62" s="187"/>
      <c r="H62" s="187"/>
      <c r="I62" s="31"/>
      <c r="J62" s="31"/>
      <c r="K62" s="34"/>
      <c r="L62" s="31"/>
      <c r="M62" s="31"/>
      <c r="N62" s="31"/>
      <c r="O62" s="31"/>
      <c r="P62" s="31"/>
      <c r="Q62" s="31"/>
      <c r="R62" s="31"/>
      <c r="S62" s="65"/>
    </row>
    <row r="63" spans="1:19" ht="18" x14ac:dyDescent="0.35">
      <c r="A63" s="30"/>
      <c r="B63" s="57"/>
      <c r="C63" s="57"/>
      <c r="D63" s="151" t="s">
        <v>175</v>
      </c>
      <c r="E63" s="152">
        <f>VLOOKUP($E$10&amp;" - "&amp;$E$11,'Parameter look up and reference'!$A$4:$F$11,4,0)</f>
        <v>5.9999999999999995E-4</v>
      </c>
      <c r="F63" s="186" t="str">
        <f>VLOOKUP( $E$11&amp;" reference",'Parameter look up and reference'!$A$4:$F$11,4,0)</f>
        <v>H&amp;D 2000  Table 8 Best estimate slope (r=0.75, t=2.1)</v>
      </c>
      <c r="G63" s="187"/>
      <c r="H63" s="187"/>
      <c r="I63" s="31"/>
      <c r="J63" s="31"/>
      <c r="K63" s="34"/>
      <c r="L63" s="31"/>
      <c r="M63" s="31"/>
      <c r="N63" s="31"/>
      <c r="O63" s="31"/>
      <c r="P63" s="31"/>
      <c r="Q63" s="31"/>
      <c r="R63" s="31"/>
      <c r="S63" s="57"/>
    </row>
    <row r="64" spans="1:19" x14ac:dyDescent="0.25">
      <c r="A64" s="30"/>
      <c r="B64" s="57"/>
      <c r="C64" s="57"/>
      <c r="D64" s="151" t="s">
        <v>3</v>
      </c>
      <c r="E64" s="152">
        <f>VLOOKUP($E$10&amp;" - "&amp;$E$11,'Parameter look up and reference'!$A$4:$F$11,5,0)</f>
        <v>2.1</v>
      </c>
      <c r="F64" s="186" t="str">
        <f>VLOOKUP( $E$11&amp;" reference",'Parameter look up and reference'!$A$4:$F$11,5,0)</f>
        <v>H&amp;D 2000  Table 8 Best estimate slope (r=0.75, t=2.1)</v>
      </c>
      <c r="G64" s="187"/>
      <c r="H64" s="187"/>
      <c r="I64" s="31"/>
      <c r="J64" s="31"/>
      <c r="K64" s="34"/>
      <c r="L64" s="31"/>
      <c r="M64" s="31"/>
      <c r="N64" s="31"/>
      <c r="O64" s="31"/>
      <c r="P64" s="31"/>
      <c r="Q64" s="31"/>
      <c r="R64" s="31"/>
      <c r="S64" s="57"/>
    </row>
    <row r="65" spans="1:19" ht="46.5" customHeight="1" x14ac:dyDescent="0.25">
      <c r="A65" s="30"/>
      <c r="B65" s="57"/>
      <c r="C65" s="57"/>
      <c r="D65" s="153" t="s">
        <v>145</v>
      </c>
      <c r="E65" s="152">
        <f>VLOOKUP($E$10&amp;" - "&amp;$E$11,'Parameter look up and reference'!$A$4:$F$11,6,0)</f>
        <v>0.7</v>
      </c>
      <c r="F65" s="186" t="str">
        <f>VLOOKUP( $E$11&amp;" reference",'Parameter look up and reference'!$A$4:$F$11,6,0)</f>
        <v>H&amp;D 2000 p. 584 "Absolute risk estimates can therefore be derived from the PM value for a given exposure by multiplying by a factor of 0.7."</v>
      </c>
      <c r="G65" s="187"/>
      <c r="H65" s="187"/>
      <c r="I65" s="31"/>
      <c r="J65" s="31"/>
      <c r="K65" s="34"/>
      <c r="L65" s="31"/>
      <c r="M65" s="31"/>
      <c r="N65" s="31"/>
      <c r="O65" s="31"/>
      <c r="P65" s="31"/>
      <c r="Q65" s="31"/>
      <c r="R65" s="31"/>
      <c r="S65" s="57"/>
    </row>
    <row r="66" spans="1:19" ht="16.5" customHeight="1" x14ac:dyDescent="0.25">
      <c r="A66" s="30"/>
      <c r="B66" s="57"/>
      <c r="C66" s="194"/>
      <c r="D66" s="194"/>
      <c r="E66" s="95"/>
      <c r="F66" s="57"/>
      <c r="G66" s="57"/>
      <c r="H66" s="57"/>
      <c r="I66" s="31"/>
      <c r="J66" s="31"/>
      <c r="K66" s="34"/>
      <c r="L66" s="31"/>
      <c r="M66" s="31"/>
      <c r="N66" s="31"/>
      <c r="O66" s="31"/>
      <c r="P66" s="31"/>
      <c r="Q66" s="31"/>
      <c r="R66" s="31"/>
      <c r="S66" s="57"/>
    </row>
    <row r="67" spans="1:19" ht="33" customHeight="1" x14ac:dyDescent="0.25">
      <c r="A67" s="136"/>
      <c r="D67" s="154"/>
      <c r="E67" s="95"/>
      <c r="F67" s="57"/>
      <c r="G67" s="57"/>
      <c r="H67" s="57"/>
      <c r="I67" s="31"/>
      <c r="J67" s="31"/>
      <c r="K67" s="34"/>
      <c r="L67" s="31"/>
      <c r="M67" s="31"/>
      <c r="N67" s="31"/>
      <c r="O67" s="31"/>
      <c r="P67" s="31"/>
      <c r="Q67" s="31"/>
      <c r="R67" s="31"/>
      <c r="S67" s="57"/>
    </row>
    <row r="68" spans="1:19" ht="46.5" x14ac:dyDescent="0.35">
      <c r="A68" s="136">
        <v>0</v>
      </c>
      <c r="B68" s="137" t="s">
        <v>84</v>
      </c>
      <c r="C68" s="155" t="str">
        <f>"Age adjustment Factor for mesothelioma risk "&amp;E14</f>
        <v>Age adjustment Factor for mesothelioma risk Lifetime 80 years</v>
      </c>
      <c r="D68" s="156" t="s">
        <v>133</v>
      </c>
      <c r="E68" s="142" t="s">
        <v>176</v>
      </c>
      <c r="F68" s="157" t="s">
        <v>119</v>
      </c>
      <c r="G68" s="158" t="str">
        <f>"Risk age adjuested assuming "&amp;E14</f>
        <v>Risk age adjuested assuming Lifetime 80 years</v>
      </c>
      <c r="H68" s="57"/>
      <c r="I68" s="31"/>
      <c r="J68" s="31"/>
      <c r="K68" s="34"/>
      <c r="L68" s="31"/>
      <c r="M68" s="31"/>
      <c r="N68" s="31"/>
      <c r="O68" s="31"/>
      <c r="P68" s="31"/>
      <c r="Q68" s="31"/>
      <c r="R68" s="31"/>
      <c r="S68" s="31"/>
    </row>
    <row r="69" spans="1:19" x14ac:dyDescent="0.25">
      <c r="A69" s="136">
        <v>1</v>
      </c>
      <c r="B69" s="142" t="s">
        <v>85</v>
      </c>
      <c r="C69" s="159">
        <f>VLOOKUP($E$14,'Parameter look up and reference'!$A$47:$M$49,2,0)</f>
        <v>7</v>
      </c>
      <c r="D69" s="200" t="str">
        <f>VLOOKUP($E$14,'Parameter look up and reference'!$A$47:$N$49,14,0)</f>
        <v>WATCH 2010 -2 Annex 3 - Contribution from a WATCH member following the February 2010 WATCH meeting (for 80 years).  CIRIA C733 used for adjustment for ages 35+</v>
      </c>
      <c r="E69" s="160">
        <f>(Apl*CumX_1^r_meso+Apr*CumX_1^t)</f>
        <v>0</v>
      </c>
      <c r="F69" s="160">
        <f>E69*Eadj/100</f>
        <v>0</v>
      </c>
      <c r="G69" s="160">
        <f>Age_adj_m_1*F69</f>
        <v>0</v>
      </c>
      <c r="H69" s="61"/>
      <c r="I69" s="31"/>
      <c r="J69" s="31"/>
      <c r="K69" s="34"/>
      <c r="L69" s="31"/>
      <c r="M69" s="31"/>
      <c r="N69" s="31"/>
      <c r="O69" s="31"/>
      <c r="P69" s="31"/>
      <c r="Q69" s="31"/>
      <c r="R69" s="31"/>
      <c r="S69" s="31"/>
    </row>
    <row r="70" spans="1:19" x14ac:dyDescent="0.25">
      <c r="A70" s="136">
        <v>2</v>
      </c>
      <c r="B70" s="142" t="s">
        <v>86</v>
      </c>
      <c r="C70" s="159">
        <f>VLOOKUP($E$14,'Parameter look up and reference'!$A$47:$M$49,3,0)</f>
        <v>5.3</v>
      </c>
      <c r="D70" s="200"/>
      <c r="E70" s="160">
        <f>(Apl*CumX_2^r_meso+Apr*CumX_2^t)-(Apl*CumX_1^r_meso+Apr*CumX_1^t)</f>
        <v>5.0000000442576417E-7</v>
      </c>
      <c r="F70" s="160">
        <f t="shared" ref="F70:F80" si="3">E70*Eadj/100</f>
        <v>3.5000000309803491E-9</v>
      </c>
      <c r="G70" s="160">
        <f>Age_adj_m_2*F70</f>
        <v>1.8550000164195849E-8</v>
      </c>
      <c r="H70" s="61"/>
      <c r="I70" s="122"/>
      <c r="J70" s="122"/>
      <c r="K70" s="34"/>
      <c r="L70" s="122"/>
      <c r="M70" s="31"/>
      <c r="N70" s="31"/>
      <c r="O70" s="31"/>
      <c r="P70" s="31"/>
      <c r="Q70" s="31"/>
      <c r="R70" s="31"/>
      <c r="S70" s="31"/>
    </row>
    <row r="71" spans="1:19" x14ac:dyDescent="0.25">
      <c r="A71" s="136">
        <v>3</v>
      </c>
      <c r="B71" s="142" t="s">
        <v>87</v>
      </c>
      <c r="C71" s="159">
        <f>VLOOKUP($E$14,'Parameter look up and reference'!$A$47:$M$49,4,0)</f>
        <v>4</v>
      </c>
      <c r="D71" s="200"/>
      <c r="E71" s="160">
        <f>(Apl*CumX_3^r_meso+Apr*CumX_3^t)-(Apl*CumX_2^r_meso+Apr*CumX_2^t)</f>
        <v>0</v>
      </c>
      <c r="F71" s="160">
        <f t="shared" si="3"/>
        <v>0</v>
      </c>
      <c r="G71" s="160">
        <f>Age_adj_m_3*F71</f>
        <v>0</v>
      </c>
      <c r="H71" s="61"/>
      <c r="I71" s="122"/>
      <c r="J71" s="122"/>
      <c r="K71" s="34"/>
      <c r="L71" s="122"/>
      <c r="M71" s="31"/>
      <c r="N71" s="31"/>
      <c r="O71" s="31"/>
      <c r="P71" s="31"/>
      <c r="Q71" s="31"/>
      <c r="R71" s="31"/>
      <c r="S71" s="31"/>
    </row>
    <row r="72" spans="1:19" x14ac:dyDescent="0.25">
      <c r="A72" s="136">
        <v>4</v>
      </c>
      <c r="B72" s="142" t="s">
        <v>88</v>
      </c>
      <c r="C72" s="159">
        <f>VLOOKUP($E$14,'Parameter look up and reference'!$A$47:$M$49,5,0)</f>
        <v>3</v>
      </c>
      <c r="D72" s="200"/>
      <c r="E72" s="160">
        <f>(Apl*CumX_4^r_meso+Apr*CumX_4^t)-(Apl*CumX_3^r_meso+Apr*CumX_3^t)</f>
        <v>0</v>
      </c>
      <c r="F72" s="160">
        <f t="shared" si="3"/>
        <v>0</v>
      </c>
      <c r="G72" s="160">
        <f>Age_adj_m_4*F72</f>
        <v>0</v>
      </c>
      <c r="H72" s="61"/>
      <c r="I72" s="122"/>
      <c r="J72" s="122"/>
      <c r="K72" s="34"/>
      <c r="L72" s="122"/>
      <c r="M72" s="31"/>
      <c r="N72" s="31"/>
      <c r="O72" s="31"/>
      <c r="P72" s="31"/>
      <c r="Q72" s="31"/>
      <c r="R72" s="31"/>
      <c r="S72" s="31"/>
    </row>
    <row r="73" spans="1:19" x14ac:dyDescent="0.25">
      <c r="A73" s="136">
        <v>5</v>
      </c>
      <c r="B73" s="142" t="s">
        <v>89</v>
      </c>
      <c r="C73" s="159">
        <f>VLOOKUP($E$14,'Parameter look up and reference'!$A$47:$M$49,6,0)</f>
        <v>2.1</v>
      </c>
      <c r="D73" s="200"/>
      <c r="E73" s="160">
        <f>(Apl*CumX_5^r_meso+Apr*CumX_5^t)-(Apl*CumX_4^r_meso+Apr*CumX_4^t)</f>
        <v>0</v>
      </c>
      <c r="F73" s="160">
        <f t="shared" si="3"/>
        <v>0</v>
      </c>
      <c r="G73" s="160">
        <f>Age_adj_m_5*F73</f>
        <v>0</v>
      </c>
      <c r="H73" s="61"/>
      <c r="I73" s="122"/>
      <c r="J73" s="122"/>
      <c r="K73" s="34"/>
      <c r="L73" s="122"/>
      <c r="M73" s="31"/>
      <c r="N73" s="31"/>
      <c r="O73" s="31"/>
      <c r="P73" s="31"/>
      <c r="Q73" s="31"/>
      <c r="R73" s="31"/>
      <c r="S73" s="31"/>
    </row>
    <row r="74" spans="1:19" x14ac:dyDescent="0.25">
      <c r="A74" s="136">
        <v>6</v>
      </c>
      <c r="B74" s="142" t="s">
        <v>90</v>
      </c>
      <c r="C74" s="159">
        <f>VLOOKUP($E$14,'Parameter look up and reference'!$A$47:$M$49,7,0)</f>
        <v>1.5</v>
      </c>
      <c r="D74" s="200"/>
      <c r="E74" s="160">
        <f>(Apl*CumX_6^r_meso+Apr*CumX_6^t)-(Apl*CumX_5^r_meso+Apr*CumX_5^t)</f>
        <v>0</v>
      </c>
      <c r="F74" s="160">
        <f t="shared" si="3"/>
        <v>0</v>
      </c>
      <c r="G74" s="160">
        <f>Age_adj_m_6*F74</f>
        <v>0</v>
      </c>
      <c r="H74" s="61"/>
      <c r="I74" s="122"/>
      <c r="J74" s="122"/>
      <c r="K74" s="34"/>
      <c r="L74" s="122"/>
      <c r="M74" s="31"/>
      <c r="N74" s="31"/>
      <c r="O74" s="31"/>
      <c r="P74" s="31"/>
      <c r="Q74" s="31"/>
      <c r="R74" s="31"/>
      <c r="S74" s="31"/>
    </row>
    <row r="75" spans="1:19" x14ac:dyDescent="0.25">
      <c r="A75" s="136">
        <v>7</v>
      </c>
      <c r="B75" s="142" t="s">
        <v>91</v>
      </c>
      <c r="C75" s="159">
        <f>VLOOKUP($E$14,'Parameter look up and reference'!$A$47:$M$49,8,0)</f>
        <v>1</v>
      </c>
      <c r="D75" s="200"/>
      <c r="E75" s="160">
        <f>(Apl*CumX_7^r_meso+Apr*CumX_7^t)-(Apl*CumX_6^r_meso+Apr*CumX_6^t)</f>
        <v>0</v>
      </c>
      <c r="F75" s="160">
        <f t="shared" si="3"/>
        <v>0</v>
      </c>
      <c r="G75" s="160">
        <f>Age_adj_m_7*F75</f>
        <v>0</v>
      </c>
      <c r="H75" s="61"/>
      <c r="I75" s="122"/>
      <c r="J75" s="122"/>
      <c r="K75" s="34"/>
      <c r="L75" s="122"/>
      <c r="M75" s="31"/>
      <c r="N75" s="31"/>
      <c r="O75" s="31"/>
      <c r="P75" s="31"/>
      <c r="Q75" s="31"/>
      <c r="R75" s="31"/>
      <c r="S75" s="31"/>
    </row>
    <row r="76" spans="1:19" x14ac:dyDescent="0.25">
      <c r="A76" s="136">
        <v>8</v>
      </c>
      <c r="B76" s="142" t="s">
        <v>92</v>
      </c>
      <c r="C76" s="159">
        <f>VLOOKUP($E$14,'Parameter look up and reference'!$A$47:$M$49,9,0)</f>
        <v>0.6</v>
      </c>
      <c r="D76" s="200"/>
      <c r="E76" s="160">
        <f>(Apl*CumX_8^r_meso+Apr*CumX_8^t)-(Apl*CumX_7^r_meso+Apr*CumX_7^t)</f>
        <v>0</v>
      </c>
      <c r="F76" s="160">
        <f t="shared" si="3"/>
        <v>0</v>
      </c>
      <c r="G76" s="160">
        <f>Age_adj_m_8*F76</f>
        <v>0</v>
      </c>
      <c r="H76" s="61"/>
      <c r="I76" s="122"/>
      <c r="J76" s="122"/>
      <c r="K76" s="34"/>
      <c r="L76" s="122"/>
      <c r="M76" s="31"/>
      <c r="N76" s="31"/>
      <c r="O76" s="31"/>
      <c r="P76" s="31"/>
      <c r="Q76" s="31"/>
      <c r="R76" s="31"/>
      <c r="S76" s="31"/>
    </row>
    <row r="77" spans="1:19" x14ac:dyDescent="0.25">
      <c r="A77" s="136">
        <v>9</v>
      </c>
      <c r="B77" s="142" t="s">
        <v>93</v>
      </c>
      <c r="C77" s="159">
        <f>VLOOKUP($E$14,'Parameter look up and reference'!$A$47:$M$49,10,0)</f>
        <v>0.4</v>
      </c>
      <c r="D77" s="200"/>
      <c r="E77" s="160">
        <f>(Apl*CumX_9^r_meso+Apr*CumX_9^t)-(Apl*CumX_8^r_meso+Apr*CumX_8^t)</f>
        <v>0</v>
      </c>
      <c r="F77" s="160">
        <f t="shared" si="3"/>
        <v>0</v>
      </c>
      <c r="G77" s="160">
        <f>Age_adj_m_9*F77</f>
        <v>0</v>
      </c>
      <c r="H77" s="61"/>
      <c r="I77" s="122"/>
      <c r="J77" s="122"/>
      <c r="K77" s="34"/>
      <c r="L77" s="122"/>
      <c r="M77" s="31"/>
      <c r="N77" s="31"/>
      <c r="O77" s="31"/>
      <c r="P77" s="31"/>
      <c r="Q77" s="31"/>
      <c r="R77" s="31"/>
      <c r="S77" s="31"/>
    </row>
    <row r="78" spans="1:19" x14ac:dyDescent="0.25">
      <c r="A78" s="136">
        <v>10</v>
      </c>
      <c r="B78" s="142" t="s">
        <v>94</v>
      </c>
      <c r="C78" s="159">
        <f>VLOOKUP($E$14,'Parameter look up and reference'!$A$47:$M$49,11,0)</f>
        <v>0.3</v>
      </c>
      <c r="D78" s="200"/>
      <c r="E78" s="160">
        <f>(Apl*CumX_10^r_meso+Apr*CumX_10^t)-(Apl*CumX_9^r_meso+Apr*CumX_9^t)</f>
        <v>0</v>
      </c>
      <c r="F78" s="160">
        <f t="shared" si="3"/>
        <v>0</v>
      </c>
      <c r="G78" s="160">
        <f>Age_adj_m_10*F78</f>
        <v>0</v>
      </c>
      <c r="H78" s="61"/>
      <c r="I78" s="122"/>
      <c r="J78" s="122"/>
      <c r="K78" s="34"/>
      <c r="L78" s="122"/>
      <c r="M78" s="31"/>
      <c r="N78" s="31"/>
      <c r="O78" s="31"/>
      <c r="P78" s="31"/>
      <c r="Q78" s="31"/>
      <c r="R78" s="31"/>
      <c r="S78" s="31"/>
    </row>
    <row r="79" spans="1:19" x14ac:dyDescent="0.25">
      <c r="A79" s="136">
        <v>11</v>
      </c>
      <c r="B79" s="142" t="s">
        <v>95</v>
      </c>
      <c r="C79" s="159">
        <f>VLOOKUP($E$14,'Parameter look up and reference'!$A$47:$M$49,12,0)</f>
        <v>0.2</v>
      </c>
      <c r="D79" s="200"/>
      <c r="E79" s="160">
        <f>(Apl*CumX_11^r_meso+Apr*CumX_11^t)-(Apl*CumX_10^r_meso+Apr*CumX_10^t)</f>
        <v>0</v>
      </c>
      <c r="F79" s="160">
        <f t="shared" si="3"/>
        <v>0</v>
      </c>
      <c r="G79" s="160">
        <f>Age_adj_m_11*F79</f>
        <v>0</v>
      </c>
      <c r="H79" s="61"/>
      <c r="I79" s="122"/>
      <c r="J79" s="122"/>
      <c r="K79" s="34"/>
      <c r="L79" s="122"/>
      <c r="M79" s="31"/>
      <c r="N79" s="31"/>
      <c r="O79" s="31"/>
      <c r="P79" s="31"/>
      <c r="Q79" s="31"/>
      <c r="R79" s="31"/>
      <c r="S79" s="31"/>
    </row>
    <row r="80" spans="1:19" x14ac:dyDescent="0.25">
      <c r="A80" s="136">
        <v>12</v>
      </c>
      <c r="B80" s="142" t="s">
        <v>96</v>
      </c>
      <c r="C80" s="159">
        <f>VLOOKUP($E$14,'Parameter look up and reference'!$A$47:$M$49,13,0)</f>
        <v>0.1</v>
      </c>
      <c r="D80" s="200"/>
      <c r="E80" s="160">
        <f>(Apl*CumX_12^r_meso+Apr*CumX_12^t)-(Apl*CumX_11^r_meso+Apr*CumX_11^t)</f>
        <v>0</v>
      </c>
      <c r="F80" s="160">
        <f t="shared" si="3"/>
        <v>0</v>
      </c>
      <c r="G80" s="160">
        <f>Age_adj_m_12*F80</f>
        <v>0</v>
      </c>
      <c r="H80" s="61"/>
      <c r="I80" s="122"/>
      <c r="J80" s="122"/>
      <c r="K80" s="34"/>
      <c r="L80" s="122"/>
      <c r="M80" s="65"/>
      <c r="N80" s="65"/>
      <c r="O80" s="65"/>
      <c r="P80" s="65"/>
      <c r="Q80" s="65"/>
      <c r="R80" s="65"/>
      <c r="S80" s="31"/>
    </row>
    <row r="81" spans="1:19" ht="49.5" customHeight="1" x14ac:dyDescent="0.25">
      <c r="A81" s="136"/>
      <c r="B81" s="95"/>
      <c r="C81" s="195" t="s">
        <v>177</v>
      </c>
      <c r="D81" s="196"/>
      <c r="E81" s="196"/>
      <c r="F81" s="196"/>
      <c r="G81" s="196"/>
      <c r="H81" s="61"/>
      <c r="I81" s="65"/>
      <c r="J81" s="65"/>
      <c r="K81" s="66"/>
      <c r="L81" s="65"/>
      <c r="M81" s="65"/>
      <c r="N81" s="65"/>
      <c r="O81" s="65"/>
      <c r="P81" s="65"/>
      <c r="Q81" s="65"/>
      <c r="R81" s="65"/>
      <c r="S81" s="31"/>
    </row>
    <row r="82" spans="1:19" x14ac:dyDescent="0.25">
      <c r="A82" s="30"/>
      <c r="B82" s="57"/>
      <c r="C82" s="58"/>
      <c r="D82" s="58"/>
      <c r="F82" s="57"/>
      <c r="G82" s="62" t="str">
        <f>$E$14</f>
        <v>Lifetime 80 years</v>
      </c>
      <c r="H82" s="65"/>
      <c r="I82" s="65"/>
      <c r="J82" s="65"/>
      <c r="K82" s="66"/>
      <c r="L82" s="65"/>
      <c r="M82" s="65"/>
      <c r="N82" s="65"/>
      <c r="O82" s="65"/>
      <c r="P82" s="65"/>
      <c r="Q82" s="65"/>
      <c r="R82" s="65"/>
      <c r="S82" s="31"/>
    </row>
    <row r="83" spans="1:19" x14ac:dyDescent="0.25">
      <c r="A83" s="30"/>
      <c r="B83" s="162" t="s">
        <v>120</v>
      </c>
      <c r="C83" s="172"/>
      <c r="D83" s="162"/>
      <c r="E83" s="163"/>
      <c r="F83" s="164" t="str">
        <f>E10</f>
        <v>Amosite</v>
      </c>
      <c r="G83" s="161">
        <f>SUM(G69:G80)</f>
        <v>1.8550000164195849E-8</v>
      </c>
      <c r="H83" s="31"/>
      <c r="I83" s="31"/>
      <c r="J83" s="31"/>
      <c r="K83" s="34"/>
      <c r="L83" s="31"/>
      <c r="M83" s="31"/>
      <c r="N83" s="31"/>
      <c r="O83" s="31"/>
      <c r="P83" s="31"/>
      <c r="Q83" s="31"/>
      <c r="R83" s="31"/>
      <c r="S83" s="31"/>
    </row>
    <row r="84" spans="1:19" x14ac:dyDescent="0.25">
      <c r="A84" s="30"/>
      <c r="B84" s="31"/>
      <c r="C84" s="31"/>
      <c r="D84" s="31"/>
      <c r="E84" s="31"/>
      <c r="F84" s="31"/>
      <c r="G84" s="31"/>
      <c r="H84" s="31"/>
      <c r="I84" s="31"/>
      <c r="J84" s="31"/>
      <c r="K84" s="34"/>
      <c r="L84" s="31"/>
      <c r="M84" s="31"/>
      <c r="N84" s="31"/>
      <c r="O84" s="31"/>
      <c r="P84" s="31"/>
      <c r="Q84" s="31"/>
      <c r="R84" s="31"/>
      <c r="S84" s="31"/>
    </row>
    <row r="85" spans="1:19" ht="15.75" thickBot="1" x14ac:dyDescent="0.3">
      <c r="A85" s="38"/>
      <c r="B85" s="39"/>
      <c r="C85" s="39"/>
      <c r="D85" s="39"/>
      <c r="E85" s="39"/>
      <c r="F85" s="39"/>
      <c r="G85" s="39"/>
      <c r="H85" s="39"/>
      <c r="I85" s="39"/>
      <c r="J85" s="39"/>
      <c r="K85" s="40"/>
      <c r="L85" s="31"/>
      <c r="M85" s="31"/>
      <c r="N85" s="31"/>
      <c r="O85" s="31"/>
      <c r="P85" s="31"/>
      <c r="Q85" s="31"/>
      <c r="R85" s="31"/>
      <c r="S85" s="31"/>
    </row>
    <row r="86" spans="1:19" x14ac:dyDescent="0.25">
      <c r="A86" s="46"/>
      <c r="B86" s="46"/>
      <c r="C86" s="46"/>
      <c r="D86" s="46"/>
      <c r="E86" s="46"/>
      <c r="F86" s="46"/>
      <c r="G86" s="46"/>
      <c r="H86" s="46"/>
      <c r="I86" s="46"/>
      <c r="J86" s="46"/>
      <c r="K86" s="46"/>
      <c r="L86" s="31"/>
      <c r="M86" s="31"/>
      <c r="N86" s="31"/>
      <c r="O86" s="31"/>
      <c r="P86" s="31"/>
      <c r="Q86" s="31"/>
      <c r="R86" s="31"/>
      <c r="S86" s="31"/>
    </row>
    <row r="87" spans="1:19" x14ac:dyDescent="0.25">
      <c r="A87" s="31"/>
      <c r="B87" s="31"/>
      <c r="C87" s="31"/>
      <c r="D87" s="31"/>
      <c r="E87" s="31"/>
      <c r="F87" s="31"/>
      <c r="G87" s="31"/>
      <c r="H87" s="31"/>
      <c r="I87" s="31"/>
      <c r="J87" s="31"/>
      <c r="K87" s="31"/>
      <c r="L87" s="31"/>
      <c r="M87" s="31"/>
      <c r="N87" s="31"/>
      <c r="O87" s="31"/>
      <c r="P87" s="31"/>
      <c r="Q87" s="31"/>
      <c r="R87" s="31"/>
      <c r="S87" s="31"/>
    </row>
    <row r="88" spans="1:19" x14ac:dyDescent="0.25">
      <c r="A88" s="31"/>
      <c r="B88" s="31"/>
      <c r="C88" s="31"/>
      <c r="D88" s="31"/>
      <c r="E88" s="31"/>
      <c r="F88" s="31"/>
      <c r="G88" s="31"/>
      <c r="H88" s="31"/>
      <c r="I88" s="31"/>
      <c r="K88" s="31" t="s">
        <v>190</v>
      </c>
      <c r="L88" s="31"/>
      <c r="M88" s="31"/>
      <c r="N88" s="31"/>
      <c r="O88" s="31"/>
      <c r="P88" s="31"/>
      <c r="Q88" s="31"/>
      <c r="R88" s="31"/>
      <c r="S88" s="31"/>
    </row>
    <row r="89" spans="1:19" x14ac:dyDescent="0.25">
      <c r="A89" s="31"/>
      <c r="B89" s="31"/>
      <c r="C89" s="31"/>
      <c r="D89" s="31"/>
      <c r="E89" s="31"/>
      <c r="F89" s="31"/>
      <c r="G89" s="31"/>
      <c r="H89" s="31"/>
      <c r="I89" s="31"/>
      <c r="J89" s="31"/>
      <c r="K89" s="31"/>
      <c r="L89" s="31"/>
      <c r="M89" s="31"/>
      <c r="N89" s="31"/>
      <c r="O89" s="31"/>
      <c r="P89" s="31"/>
      <c r="Q89" s="31"/>
      <c r="R89" s="31"/>
      <c r="S89" s="31"/>
    </row>
    <row r="90" spans="1:19" x14ac:dyDescent="0.25">
      <c r="A90" s="31"/>
      <c r="B90" s="31"/>
      <c r="C90" s="31"/>
      <c r="D90" s="31"/>
      <c r="E90" s="31"/>
      <c r="F90" s="31"/>
      <c r="G90" s="31"/>
      <c r="H90" s="31"/>
      <c r="I90" s="31"/>
      <c r="J90" s="31"/>
      <c r="K90" s="31"/>
      <c r="L90" s="31"/>
      <c r="M90" s="31"/>
      <c r="N90" s="31"/>
      <c r="O90" s="31"/>
      <c r="P90" s="31"/>
      <c r="Q90" s="31"/>
      <c r="R90" s="31"/>
      <c r="S90" s="31"/>
    </row>
    <row r="91" spans="1:19" ht="58.5" customHeight="1" x14ac:dyDescent="0.25">
      <c r="A91" s="31"/>
      <c r="B91" s="31"/>
      <c r="C91" s="31"/>
      <c r="D91" s="31"/>
      <c r="E91" s="31"/>
      <c r="F91" s="31"/>
      <c r="G91" s="31"/>
      <c r="H91" s="31"/>
      <c r="I91" s="31"/>
      <c r="J91" s="31"/>
      <c r="K91" s="31"/>
      <c r="L91" s="31"/>
      <c r="M91" s="31"/>
      <c r="N91" s="31"/>
      <c r="O91" s="31"/>
      <c r="P91" s="31"/>
      <c r="Q91" s="31"/>
      <c r="R91" s="31"/>
      <c r="S91" s="31"/>
    </row>
    <row r="92" spans="1:19" ht="15.75" thickBot="1" x14ac:dyDescent="0.3">
      <c r="A92" s="39"/>
      <c r="B92" s="39"/>
      <c r="C92" s="39"/>
      <c r="D92" s="39"/>
      <c r="E92" s="39"/>
      <c r="F92" s="39"/>
      <c r="G92" s="39"/>
      <c r="H92" s="39"/>
      <c r="I92" s="39"/>
      <c r="J92" s="39"/>
      <c r="K92" s="39"/>
      <c r="L92" s="31"/>
      <c r="M92" s="31"/>
      <c r="N92" s="31"/>
      <c r="O92" s="31"/>
      <c r="P92" s="31"/>
      <c r="Q92" s="31"/>
      <c r="R92" s="31"/>
      <c r="S92" s="31"/>
    </row>
    <row r="93" spans="1:19" ht="28.5" x14ac:dyDescent="0.45">
      <c r="A93" s="105"/>
      <c r="B93" s="108" t="s">
        <v>121</v>
      </c>
      <c r="C93" s="45"/>
      <c r="D93" s="45"/>
      <c r="E93" s="45"/>
      <c r="F93" s="45"/>
      <c r="G93" s="45"/>
      <c r="H93" s="46"/>
      <c r="I93" s="46"/>
      <c r="J93" s="46"/>
      <c r="K93" s="47"/>
      <c r="L93" s="31"/>
      <c r="M93" s="31"/>
      <c r="N93" s="31"/>
      <c r="O93" s="31"/>
      <c r="P93" s="31"/>
      <c r="Q93" s="31"/>
      <c r="R93" s="31"/>
      <c r="S93" s="31"/>
    </row>
    <row r="94" spans="1:19" ht="28.5" x14ac:dyDescent="0.45">
      <c r="A94" s="30"/>
      <c r="B94" s="26"/>
      <c r="C94" s="165"/>
      <c r="D94" s="165"/>
      <c r="E94" s="165"/>
      <c r="F94" s="165"/>
      <c r="G94" s="165"/>
      <c r="H94" s="31"/>
      <c r="I94" s="31"/>
      <c r="J94" s="31"/>
      <c r="K94" s="34"/>
      <c r="L94" s="31"/>
      <c r="M94" s="31"/>
      <c r="N94" s="31"/>
      <c r="O94" s="31"/>
      <c r="P94" s="31"/>
      <c r="Q94" s="31"/>
      <c r="R94" s="31"/>
      <c r="S94" s="31"/>
    </row>
    <row r="95" spans="1:19" ht="30" customHeight="1" x14ac:dyDescent="0.35">
      <c r="A95" s="30"/>
      <c r="B95" s="25"/>
      <c r="C95" s="149" t="s">
        <v>184</v>
      </c>
      <c r="D95" s="58" t="s">
        <v>122</v>
      </c>
      <c r="E95" s="25"/>
      <c r="F95" s="25"/>
      <c r="G95" s="25"/>
      <c r="H95" s="31"/>
      <c r="I95" s="31"/>
      <c r="J95" s="31"/>
      <c r="K95" s="34"/>
      <c r="L95" s="31"/>
      <c r="M95" s="31"/>
      <c r="N95" s="31"/>
      <c r="O95" s="31"/>
      <c r="P95" s="31"/>
      <c r="Q95" s="31"/>
      <c r="R95" s="31"/>
      <c r="S95" s="31"/>
    </row>
    <row r="96" spans="1:19" ht="18" x14ac:dyDescent="0.35">
      <c r="A96" s="30"/>
      <c r="C96" s="149" t="s">
        <v>185</v>
      </c>
      <c r="D96" s="58" t="s">
        <v>123</v>
      </c>
      <c r="E96" s="58"/>
      <c r="F96" s="58"/>
      <c r="G96" s="149" t="s">
        <v>186</v>
      </c>
      <c r="H96" s="31" t="s">
        <v>164</v>
      </c>
      <c r="I96" s="31"/>
      <c r="J96" s="31"/>
      <c r="K96" s="34"/>
      <c r="L96" s="31"/>
      <c r="M96" s="31"/>
      <c r="N96" s="31"/>
      <c r="O96" s="31"/>
      <c r="P96" s="31"/>
      <c r="Q96" s="31"/>
      <c r="R96" s="31"/>
      <c r="S96" s="31"/>
    </row>
    <row r="97" spans="1:19" x14ac:dyDescent="0.25">
      <c r="A97" s="30"/>
      <c r="C97" s="149" t="s">
        <v>1</v>
      </c>
      <c r="D97" s="58" t="s">
        <v>124</v>
      </c>
      <c r="E97" s="58"/>
      <c r="F97" s="58"/>
      <c r="G97" s="58"/>
      <c r="H97" s="31"/>
      <c r="I97" s="31"/>
      <c r="J97" s="31"/>
      <c r="K97" s="34"/>
      <c r="L97" s="31"/>
      <c r="M97" s="31"/>
      <c r="N97" s="31"/>
      <c r="O97" s="31"/>
      <c r="P97" s="31"/>
      <c r="Q97" s="31"/>
      <c r="R97" s="31"/>
      <c r="S97" s="31"/>
    </row>
    <row r="98" spans="1:19" x14ac:dyDescent="0.25">
      <c r="A98" s="30"/>
      <c r="C98" s="149" t="s">
        <v>113</v>
      </c>
      <c r="D98" s="58" t="s">
        <v>114</v>
      </c>
      <c r="E98" s="58"/>
      <c r="F98" s="58"/>
      <c r="G98" s="58"/>
      <c r="I98" s="31"/>
      <c r="J98" s="31"/>
      <c r="K98" s="34"/>
      <c r="L98" s="31"/>
      <c r="M98" s="31"/>
      <c r="N98" s="31"/>
      <c r="O98" s="31"/>
      <c r="P98" s="31"/>
      <c r="Q98" s="31"/>
      <c r="R98" s="31"/>
      <c r="S98" s="31"/>
    </row>
    <row r="99" spans="1:19" x14ac:dyDescent="0.25">
      <c r="A99" s="30"/>
      <c r="D99" s="58"/>
      <c r="E99" s="58"/>
      <c r="F99" s="58"/>
      <c r="G99" s="58"/>
      <c r="H99" s="31"/>
      <c r="I99" s="31"/>
      <c r="J99" s="31"/>
      <c r="K99" s="34"/>
      <c r="L99" s="31"/>
      <c r="M99" s="31"/>
      <c r="N99" s="31"/>
      <c r="O99" s="31"/>
      <c r="P99" s="31"/>
      <c r="Q99" s="31"/>
      <c r="R99" s="31"/>
      <c r="S99" s="31"/>
    </row>
    <row r="100" spans="1:19" ht="15" customHeight="1" x14ac:dyDescent="0.25">
      <c r="A100" s="30"/>
      <c r="B100" s="124" t="s">
        <v>117</v>
      </c>
      <c r="C100" s="58"/>
      <c r="D100" s="58"/>
      <c r="E100" s="58"/>
      <c r="F100" s="58"/>
      <c r="H100" s="127"/>
      <c r="I100" s="20"/>
      <c r="J100" s="20"/>
      <c r="K100" s="100"/>
      <c r="L100" s="31"/>
      <c r="M100" s="31"/>
      <c r="N100" s="31"/>
      <c r="O100" s="31"/>
      <c r="P100" s="31"/>
      <c r="Q100" s="31"/>
      <c r="R100" s="31"/>
      <c r="S100" s="31"/>
    </row>
    <row r="101" spans="1:19" x14ac:dyDescent="0.25">
      <c r="A101" s="30"/>
      <c r="B101" s="125" t="s">
        <v>173</v>
      </c>
      <c r="C101" s="57"/>
      <c r="D101" s="94"/>
      <c r="E101" s="58"/>
      <c r="F101" s="58"/>
      <c r="G101" s="58"/>
      <c r="H101" s="20"/>
      <c r="I101" s="20"/>
      <c r="J101" s="20"/>
      <c r="K101" s="100"/>
      <c r="L101" s="31"/>
      <c r="M101" s="31"/>
      <c r="N101" s="31"/>
      <c r="O101" s="31"/>
      <c r="P101" s="31"/>
      <c r="Q101" s="31"/>
      <c r="R101" s="31"/>
      <c r="S101" s="31"/>
    </row>
    <row r="102" spans="1:19" x14ac:dyDescent="0.25">
      <c r="A102" s="30"/>
      <c r="B102" s="94"/>
      <c r="C102" s="58"/>
      <c r="D102" s="58"/>
      <c r="E102" s="57"/>
      <c r="F102" s="57"/>
      <c r="G102" s="57"/>
      <c r="H102" s="31"/>
      <c r="I102" s="31"/>
      <c r="J102" s="31"/>
      <c r="K102" s="34"/>
      <c r="L102" s="31"/>
      <c r="M102" s="31"/>
      <c r="N102" s="31"/>
      <c r="O102" s="31"/>
      <c r="P102" s="31"/>
      <c r="Q102" s="31"/>
      <c r="R102" s="31"/>
      <c r="S102" s="31"/>
    </row>
    <row r="103" spans="1:19" x14ac:dyDescent="0.25">
      <c r="A103" s="30"/>
      <c r="B103" s="58"/>
      <c r="C103" s="58"/>
      <c r="D103" s="198" t="s">
        <v>118</v>
      </c>
      <c r="E103" s="199"/>
      <c r="F103" s="199"/>
      <c r="G103" s="199"/>
      <c r="H103" s="199"/>
      <c r="I103" s="31"/>
      <c r="J103" s="31"/>
      <c r="K103" s="34"/>
      <c r="L103" s="31"/>
      <c r="M103" s="31"/>
      <c r="N103" s="31"/>
      <c r="O103" s="31"/>
      <c r="P103" s="31"/>
      <c r="Q103" s="31"/>
      <c r="R103" s="31"/>
      <c r="S103" s="31"/>
    </row>
    <row r="104" spans="1:19" x14ac:dyDescent="0.25">
      <c r="A104" s="30"/>
      <c r="B104" s="58"/>
      <c r="C104" s="58"/>
      <c r="D104" s="139"/>
      <c r="E104" s="167" t="str">
        <f>E10</f>
        <v>Amosite</v>
      </c>
      <c r="F104" s="201" t="s">
        <v>133</v>
      </c>
      <c r="G104" s="202"/>
      <c r="H104" s="202"/>
      <c r="I104" s="31"/>
      <c r="J104" s="31"/>
      <c r="K104" s="34"/>
      <c r="L104" s="31"/>
      <c r="M104" s="31"/>
      <c r="N104" s="31"/>
      <c r="O104" s="31"/>
      <c r="P104" s="31"/>
      <c r="Q104" s="31"/>
      <c r="R104" s="31"/>
      <c r="S104" s="31"/>
    </row>
    <row r="105" spans="1:19" ht="54.75" customHeight="1" x14ac:dyDescent="0.35">
      <c r="A105" s="30"/>
      <c r="B105" s="58"/>
      <c r="C105" s="58"/>
      <c r="D105" s="168" t="s">
        <v>180</v>
      </c>
      <c r="E105" s="152">
        <f>VLOOKUP($E$10&amp;" - "&amp;$E$12,'Parameter look up and reference'!$A$16:$C$23,2,0)</f>
        <v>1.6</v>
      </c>
      <c r="F105" s="188" t="str">
        <f>VLOOKUP( $E$12&amp;" reference",'Parameter look up and reference'!$A$16:$C$23,2,0)</f>
        <v>H&amp;D 2000  Table 10 Best (r=1.3)</v>
      </c>
      <c r="G105" s="189"/>
      <c r="H105" s="189"/>
      <c r="I105" s="31"/>
      <c r="J105" s="31"/>
      <c r="K105" s="34"/>
      <c r="L105" s="31"/>
      <c r="M105" s="31"/>
      <c r="N105" s="31"/>
      <c r="O105" s="31"/>
      <c r="P105" s="31"/>
      <c r="Q105" s="31"/>
      <c r="R105" s="31"/>
      <c r="S105" s="31"/>
    </row>
    <row r="106" spans="1:19" x14ac:dyDescent="0.25">
      <c r="A106" s="30"/>
      <c r="B106" s="58"/>
      <c r="C106" s="58"/>
      <c r="D106" s="168" t="s">
        <v>148</v>
      </c>
      <c r="E106" s="152">
        <f>VLOOKUP($E$10&amp;" - "&amp;$E$12,'Parameter look up and reference'!$A$16:$C$23,3,0)</f>
        <v>1.3</v>
      </c>
      <c r="F106" s="188" t="str">
        <f>VLOOKUP( $E$12&amp;" reference",'Parameter look up and reference'!$A$16:$C$23,3,0)</f>
        <v>H&amp;D 2000  Table 10 Best (r=1.3)</v>
      </c>
      <c r="G106" s="189"/>
      <c r="H106" s="189"/>
      <c r="I106" s="31"/>
      <c r="J106" s="31"/>
      <c r="K106" s="34"/>
      <c r="L106" s="31"/>
      <c r="M106" s="31"/>
      <c r="N106" s="31"/>
      <c r="O106" s="31"/>
      <c r="P106" s="31"/>
      <c r="Q106" s="31"/>
      <c r="R106" s="31"/>
      <c r="S106" s="31"/>
    </row>
    <row r="107" spans="1:19" ht="55.5" customHeight="1" x14ac:dyDescent="0.25">
      <c r="A107" s="30"/>
      <c r="B107" s="58"/>
      <c r="C107" s="58"/>
      <c r="D107" s="169" t="s">
        <v>155</v>
      </c>
      <c r="E107" s="170">
        <f>VLOOKUP($E$13,'Parameter look up and reference'!$A$28:$C$39,2,0)</f>
        <v>3.2714239262803375E-2</v>
      </c>
      <c r="F107" s="188" t="str">
        <f>VLOOKUP($E$13,'Parameter look up and reference'!$A$28:$C$39,3,0)</f>
        <v>Based on Average 2016-2018 populations statistics</v>
      </c>
      <c r="G107" s="189"/>
      <c r="H107" s="189"/>
      <c r="I107" s="31"/>
      <c r="J107" s="31"/>
      <c r="K107" s="34"/>
      <c r="L107" s="31"/>
      <c r="M107" s="31"/>
      <c r="N107" s="31"/>
      <c r="O107" s="31"/>
      <c r="P107" s="31"/>
      <c r="Q107" s="31"/>
      <c r="R107" s="31"/>
      <c r="S107" s="31"/>
    </row>
    <row r="108" spans="1:19" ht="22.5" customHeight="1" x14ac:dyDescent="0.25">
      <c r="A108" s="30"/>
      <c r="B108" s="58"/>
      <c r="C108" s="101"/>
      <c r="D108" s="101"/>
      <c r="E108" s="102"/>
      <c r="F108" s="103"/>
      <c r="G108" s="103"/>
      <c r="H108" s="31"/>
      <c r="I108" s="31"/>
      <c r="K108" s="34"/>
      <c r="L108" s="31"/>
      <c r="M108" s="31"/>
      <c r="N108" s="31"/>
      <c r="O108" s="31"/>
      <c r="P108" s="31"/>
      <c r="Q108" s="31"/>
      <c r="R108" s="31"/>
      <c r="S108" s="31"/>
    </row>
    <row r="109" spans="1:19" s="22" customFormat="1" ht="15" customHeight="1" x14ac:dyDescent="0.35">
      <c r="A109" s="30">
        <v>0</v>
      </c>
      <c r="B109" s="142" t="s">
        <v>84</v>
      </c>
      <c r="C109" s="171" t="s">
        <v>141</v>
      </c>
      <c r="D109" s="142" t="s">
        <v>156</v>
      </c>
      <c r="E109" s="142" t="s">
        <v>187</v>
      </c>
      <c r="F109" s="142" t="s">
        <v>142</v>
      </c>
      <c r="G109" s="36"/>
      <c r="H109" s="36"/>
      <c r="I109" s="36"/>
      <c r="K109" s="114"/>
      <c r="L109" s="36"/>
      <c r="M109" s="36"/>
      <c r="N109" s="36"/>
      <c r="O109" s="36"/>
      <c r="P109" s="36"/>
      <c r="Q109" s="36"/>
      <c r="R109" s="36"/>
      <c r="S109" s="36"/>
    </row>
    <row r="110" spans="1:19" ht="15" customHeight="1" x14ac:dyDescent="0.25">
      <c r="A110" s="30">
        <v>1</v>
      </c>
      <c r="B110" s="142" t="s">
        <v>85</v>
      </c>
      <c r="C110" s="159">
        <f>VLOOKUP($E$15,'Parameter look up and reference'!$A$51:$N$52,2,0)</f>
        <v>1</v>
      </c>
      <c r="D110" s="200" t="str">
        <f>VLOOKUP($E$15,'Parameter look up and reference'!$A$51:$N$52,14,0)</f>
        <v xml:space="preserve">Developing risk estimates consistent with Table 11 for extended exposures, Hodgson and Darnton 2000 </v>
      </c>
      <c r="E110" s="160">
        <f>(AL*CumX_1^r_lung)</f>
        <v>0</v>
      </c>
      <c r="F110" s="160">
        <f>Age_adj_l_1*E110*E_L/100</f>
        <v>0</v>
      </c>
      <c r="G110" s="121"/>
      <c r="H110" s="31"/>
      <c r="I110" s="31"/>
      <c r="K110" s="34"/>
      <c r="L110" s="31"/>
      <c r="M110" s="31"/>
      <c r="N110" s="31"/>
      <c r="O110" s="31"/>
      <c r="P110" s="31"/>
      <c r="Q110" s="31"/>
      <c r="R110" s="31"/>
      <c r="S110" s="31"/>
    </row>
    <row r="111" spans="1:19" x14ac:dyDescent="0.25">
      <c r="A111" s="30">
        <v>2</v>
      </c>
      <c r="B111" s="142" t="s">
        <v>86</v>
      </c>
      <c r="C111" s="159">
        <f>VLOOKUP($E$15,'Parameter look up and reference'!$A$51:$N$52,3,0)</f>
        <v>1</v>
      </c>
      <c r="D111" s="203"/>
      <c r="E111" s="160">
        <f>(AL*CumX_2^r_lung)-(AL*CumX_1^r_lung)</f>
        <v>2.0548540859324421E-7</v>
      </c>
      <c r="F111" s="160">
        <f>Age_adj_l_2*E111*E_L/100</f>
        <v>6.7222988217343032E-11</v>
      </c>
      <c r="G111" s="121"/>
      <c r="H111" s="31"/>
      <c r="I111" s="31"/>
      <c r="K111" s="34"/>
      <c r="L111" s="31"/>
      <c r="M111" s="31"/>
      <c r="N111" s="31"/>
      <c r="O111" s="31"/>
      <c r="P111" s="31"/>
      <c r="Q111" s="31"/>
      <c r="R111" s="31"/>
      <c r="S111" s="31"/>
    </row>
    <row r="112" spans="1:19" x14ac:dyDescent="0.25">
      <c r="A112" s="30">
        <v>3</v>
      </c>
      <c r="B112" s="142" t="s">
        <v>87</v>
      </c>
      <c r="C112" s="159">
        <f>VLOOKUP($E$15,'Parameter look up and reference'!$A$51:$N$52,4,0)</f>
        <v>1</v>
      </c>
      <c r="D112" s="203"/>
      <c r="E112" s="160">
        <f>(AL*CumX_3^r_lung)-(AL*CumX_2^r_lung)</f>
        <v>0</v>
      </c>
      <c r="F112" s="160">
        <f>Age_adj_l_3*E112*E_L/100</f>
        <v>0</v>
      </c>
      <c r="G112" s="121"/>
      <c r="H112" s="31"/>
      <c r="I112" s="31"/>
      <c r="K112" s="34"/>
      <c r="L112" s="31"/>
      <c r="M112" s="31"/>
      <c r="N112" s="31"/>
      <c r="O112" s="31"/>
      <c r="P112" s="31"/>
      <c r="Q112" s="31"/>
      <c r="R112" s="31"/>
      <c r="S112" s="31"/>
    </row>
    <row r="113" spans="1:19" x14ac:dyDescent="0.25">
      <c r="A113" s="30">
        <v>4</v>
      </c>
      <c r="B113" s="142" t="s">
        <v>88</v>
      </c>
      <c r="C113" s="159">
        <f>VLOOKUP($E$15,'Parameter look up and reference'!$A$51:$N$52,5,0)</f>
        <v>1</v>
      </c>
      <c r="D113" s="203"/>
      <c r="E113" s="160">
        <f>(AL*CumX_4^r_lung)-(AL*CumX_3^r_lung)</f>
        <v>0</v>
      </c>
      <c r="F113" s="160">
        <f>Age_adj_l_4*E113*E_L/100</f>
        <v>0</v>
      </c>
      <c r="G113" s="121"/>
      <c r="H113" s="31"/>
      <c r="I113" s="31"/>
      <c r="K113" s="34"/>
      <c r="L113" s="31"/>
      <c r="M113" s="31"/>
      <c r="N113" s="31"/>
      <c r="O113" s="31"/>
      <c r="P113" s="31"/>
      <c r="Q113" s="31"/>
      <c r="R113" s="31"/>
      <c r="S113" s="31"/>
    </row>
    <row r="114" spans="1:19" x14ac:dyDescent="0.25">
      <c r="A114" s="30">
        <v>5</v>
      </c>
      <c r="B114" s="142" t="s">
        <v>89</v>
      </c>
      <c r="C114" s="159">
        <f>VLOOKUP($E$15,'Parameter look up and reference'!$A$51:$N$52,6,0)</f>
        <v>1</v>
      </c>
      <c r="D114" s="203"/>
      <c r="E114" s="160">
        <f>(AL*CumX_5^r_lung)-(AL*CumX_4^r_lung)</f>
        <v>0</v>
      </c>
      <c r="F114" s="160">
        <f>Age_adj_l_5*E114*E_L/100</f>
        <v>0</v>
      </c>
      <c r="G114" s="121"/>
      <c r="H114" s="31"/>
      <c r="I114" s="31"/>
      <c r="K114" s="34"/>
      <c r="L114" s="31"/>
      <c r="M114" s="31"/>
      <c r="N114" s="31"/>
      <c r="O114" s="31"/>
      <c r="P114" s="31"/>
      <c r="Q114" s="31"/>
      <c r="R114" s="31"/>
      <c r="S114" s="31"/>
    </row>
    <row r="115" spans="1:19" x14ac:dyDescent="0.25">
      <c r="A115" s="30">
        <v>6</v>
      </c>
      <c r="B115" s="142" t="s">
        <v>90</v>
      </c>
      <c r="C115" s="159">
        <f>VLOOKUP($E$15,'Parameter look up and reference'!$A$51:$N$52,7,0)</f>
        <v>1</v>
      </c>
      <c r="D115" s="203"/>
      <c r="E115" s="160">
        <f>(AL*CumX_6^r_lung)-(AL*CumX_5^r_lung)</f>
        <v>0</v>
      </c>
      <c r="F115" s="160">
        <f>Age_adj_l_6*E115*E_L/100</f>
        <v>0</v>
      </c>
      <c r="G115" s="121"/>
      <c r="H115" s="31"/>
      <c r="I115" s="31"/>
      <c r="K115" s="34"/>
      <c r="L115" s="31"/>
      <c r="M115" s="31"/>
      <c r="N115" s="31"/>
      <c r="O115" s="31"/>
      <c r="P115" s="31"/>
      <c r="Q115" s="31"/>
      <c r="R115" s="31"/>
      <c r="S115" s="31"/>
    </row>
    <row r="116" spans="1:19" x14ac:dyDescent="0.25">
      <c r="A116" s="30">
        <v>7</v>
      </c>
      <c r="B116" s="142" t="s">
        <v>91</v>
      </c>
      <c r="C116" s="159">
        <f>VLOOKUP($E$15,'Parameter look up and reference'!$A$51:$N$52,8,0)</f>
        <v>1</v>
      </c>
      <c r="D116" s="203"/>
      <c r="E116" s="160">
        <f>(AL*CumX_7^r_lung)-(AL*CumX_6^r_lung)</f>
        <v>0</v>
      </c>
      <c r="F116" s="160">
        <f>Age_adj_l_7*E116*E_L/100</f>
        <v>0</v>
      </c>
      <c r="G116" s="121"/>
      <c r="H116" s="31"/>
      <c r="I116" s="31"/>
      <c r="K116" s="34"/>
      <c r="L116" s="31"/>
      <c r="M116" s="31"/>
      <c r="N116" s="31"/>
      <c r="O116" s="31"/>
      <c r="P116" s="31"/>
      <c r="Q116" s="31"/>
      <c r="R116" s="31"/>
      <c r="S116" s="31"/>
    </row>
    <row r="117" spans="1:19" x14ac:dyDescent="0.25">
      <c r="A117" s="30">
        <v>8</v>
      </c>
      <c r="B117" s="142" t="s">
        <v>92</v>
      </c>
      <c r="C117" s="159">
        <f>VLOOKUP($E$15,'Parameter look up and reference'!$A$51:$N$52,9,0)</f>
        <v>1</v>
      </c>
      <c r="D117" s="203"/>
      <c r="E117" s="160">
        <f>(AL*CumX_8^r_lung)-(AL*CumX_7^r_lung)</f>
        <v>0</v>
      </c>
      <c r="F117" s="160">
        <f>Age_adj_l_8*E117*E_L/100</f>
        <v>0</v>
      </c>
      <c r="G117" s="121"/>
      <c r="H117" s="31"/>
      <c r="I117" s="31"/>
      <c r="K117" s="34"/>
      <c r="L117" s="31"/>
      <c r="M117" s="31"/>
      <c r="N117" s="31"/>
      <c r="O117" s="31"/>
      <c r="P117" s="31"/>
      <c r="Q117" s="31"/>
      <c r="R117" s="31"/>
      <c r="S117" s="31"/>
    </row>
    <row r="118" spans="1:19" x14ac:dyDescent="0.25">
      <c r="A118" s="30">
        <v>9</v>
      </c>
      <c r="B118" s="142" t="s">
        <v>93</v>
      </c>
      <c r="C118" s="159">
        <f>VLOOKUP($E$15,'Parameter look up and reference'!$A$51:$N$52,10,0)</f>
        <v>1</v>
      </c>
      <c r="D118" s="203"/>
      <c r="E118" s="160">
        <f>(AL*CumX_9^r_lung)-(AL*CumX_8^r_lung)</f>
        <v>0</v>
      </c>
      <c r="F118" s="160">
        <f>Age_adj_l_9*E118*E_L/100</f>
        <v>0</v>
      </c>
      <c r="G118" s="121"/>
      <c r="H118" s="31"/>
      <c r="I118" s="31"/>
      <c r="K118" s="34"/>
      <c r="L118" s="31"/>
      <c r="M118" s="31"/>
      <c r="N118" s="31"/>
      <c r="O118" s="31"/>
      <c r="P118" s="31"/>
      <c r="Q118" s="31"/>
      <c r="R118" s="31"/>
      <c r="S118" s="31"/>
    </row>
    <row r="119" spans="1:19" x14ac:dyDescent="0.25">
      <c r="A119" s="30">
        <v>10</v>
      </c>
      <c r="B119" s="142" t="s">
        <v>94</v>
      </c>
      <c r="C119" s="159">
        <f>VLOOKUP($E$15,'Parameter look up and reference'!$A$51:$N$52,11,0)</f>
        <v>0.75</v>
      </c>
      <c r="D119" s="203"/>
      <c r="E119" s="160">
        <f>(AL*CumX_10^r_lung)-(AL*CumX_9^r_lung)</f>
        <v>0</v>
      </c>
      <c r="F119" s="160">
        <f>Age_adj_l_10*E119*E_L/100</f>
        <v>0</v>
      </c>
      <c r="G119" s="121"/>
      <c r="H119" s="31"/>
      <c r="I119" s="31"/>
      <c r="K119" s="34"/>
      <c r="L119" s="31"/>
      <c r="M119" s="31"/>
      <c r="N119" s="31"/>
      <c r="O119" s="31"/>
      <c r="P119" s="31"/>
      <c r="Q119" s="31"/>
      <c r="R119" s="31"/>
      <c r="S119" s="31"/>
    </row>
    <row r="120" spans="1:19" x14ac:dyDescent="0.25">
      <c r="A120" s="30">
        <v>11</v>
      </c>
      <c r="B120" s="142" t="s">
        <v>95</v>
      </c>
      <c r="C120" s="159">
        <f>VLOOKUP($E$15,'Parameter look up and reference'!$A$51:$N$52,12,0)</f>
        <v>0.5</v>
      </c>
      <c r="D120" s="203"/>
      <c r="E120" s="160">
        <f>(AL*CumX_11^r_lung)-(AL*CumX_10^r_lung)</f>
        <v>0</v>
      </c>
      <c r="F120" s="160">
        <f>Age_adj_l_11*E120*E_L/100</f>
        <v>0</v>
      </c>
      <c r="G120" s="121"/>
      <c r="H120" s="31"/>
      <c r="I120" s="31"/>
      <c r="K120" s="34"/>
      <c r="L120" s="31"/>
      <c r="M120" s="31"/>
      <c r="N120" s="31"/>
      <c r="O120" s="31"/>
      <c r="P120" s="31"/>
      <c r="Q120" s="31"/>
      <c r="R120" s="31"/>
      <c r="S120" s="31"/>
    </row>
    <row r="121" spans="1:19" x14ac:dyDescent="0.25">
      <c r="A121" s="30">
        <v>12</v>
      </c>
      <c r="B121" s="142" t="s">
        <v>96</v>
      </c>
      <c r="C121" s="159">
        <f>VLOOKUP($E$15,'Parameter look up and reference'!$A$51:$N$52,13,0)</f>
        <v>0.25</v>
      </c>
      <c r="D121" s="203"/>
      <c r="E121" s="160">
        <f>(AL*CumX_12^r_lung)-(AL*CumX_11^r_lung)</f>
        <v>0</v>
      </c>
      <c r="F121" s="160">
        <f>Age_adj_l_12*E121*E_L/100</f>
        <v>0</v>
      </c>
      <c r="G121" s="121"/>
      <c r="H121" s="31"/>
      <c r="I121" s="31"/>
      <c r="K121" s="34"/>
      <c r="L121" s="31"/>
      <c r="M121" s="31"/>
      <c r="N121" s="31"/>
      <c r="O121" s="31"/>
      <c r="P121" s="31"/>
      <c r="Q121" s="31"/>
      <c r="R121" s="31"/>
      <c r="S121" s="31"/>
    </row>
    <row r="122" spans="1:19" x14ac:dyDescent="0.25">
      <c r="A122" s="30"/>
      <c r="B122" s="35"/>
      <c r="C122" s="35"/>
      <c r="D122" s="35"/>
      <c r="E122" s="31"/>
      <c r="F122" s="35"/>
      <c r="G122" s="35"/>
      <c r="H122" s="31"/>
      <c r="I122" s="31"/>
      <c r="J122" s="31"/>
      <c r="K122" s="34"/>
      <c r="L122" s="31"/>
      <c r="M122" s="31"/>
      <c r="N122" s="31"/>
      <c r="O122" s="31"/>
      <c r="P122" s="31"/>
      <c r="Q122" s="31"/>
      <c r="R122" s="31"/>
      <c r="S122" s="31"/>
    </row>
    <row r="123" spans="1:19" x14ac:dyDescent="0.25">
      <c r="A123" s="30"/>
      <c r="B123" s="162" t="s">
        <v>120</v>
      </c>
      <c r="C123" s="164"/>
      <c r="D123" s="162"/>
      <c r="E123" s="173"/>
      <c r="F123" s="164" t="str">
        <f>E10</f>
        <v>Amosite</v>
      </c>
      <c r="G123" s="161">
        <f>SUM(F110:F121)</f>
        <v>6.7222988217343032E-11</v>
      </c>
      <c r="H123" s="31"/>
      <c r="I123" s="31"/>
      <c r="J123" s="31"/>
      <c r="K123" s="34"/>
      <c r="L123" s="31"/>
      <c r="M123" s="31"/>
      <c r="N123" s="31"/>
      <c r="O123" s="31"/>
      <c r="P123" s="31"/>
      <c r="Q123" s="31"/>
      <c r="R123" s="31"/>
      <c r="S123" s="31"/>
    </row>
    <row r="124" spans="1:19" x14ac:dyDescent="0.25">
      <c r="A124" s="30"/>
      <c r="B124" s="35"/>
      <c r="C124" s="35"/>
      <c r="D124" s="36"/>
      <c r="E124" s="36"/>
      <c r="F124" s="36"/>
      <c r="G124" s="36"/>
      <c r="H124" s="36"/>
      <c r="I124" s="31"/>
      <c r="J124" s="31"/>
      <c r="K124" s="34"/>
      <c r="L124" s="31"/>
      <c r="M124" s="31"/>
      <c r="N124" s="31"/>
      <c r="O124" s="31"/>
      <c r="P124" s="31"/>
      <c r="Q124" s="31"/>
      <c r="R124" s="31"/>
      <c r="S124" s="31"/>
    </row>
    <row r="125" spans="1:19" ht="15.75" thickBot="1" x14ac:dyDescent="0.3">
      <c r="A125" s="38"/>
      <c r="B125" s="48"/>
      <c r="C125" s="48"/>
      <c r="D125" s="48"/>
      <c r="E125" s="39"/>
      <c r="F125" s="39"/>
      <c r="G125" s="49"/>
      <c r="H125" s="39"/>
      <c r="I125" s="39"/>
      <c r="J125" s="39"/>
      <c r="K125" s="40"/>
      <c r="L125" s="31"/>
      <c r="M125" s="31"/>
      <c r="N125" s="31"/>
      <c r="O125" s="31"/>
      <c r="P125" s="31"/>
      <c r="Q125" s="31"/>
      <c r="R125" s="31"/>
      <c r="S125" s="31"/>
    </row>
    <row r="126" spans="1:19" ht="28.5" x14ac:dyDescent="0.25">
      <c r="A126" s="105"/>
      <c r="B126" s="115" t="s">
        <v>136</v>
      </c>
      <c r="C126" s="50"/>
      <c r="D126" s="51"/>
      <c r="E126" s="51"/>
      <c r="F126" s="51"/>
      <c r="G126" s="52"/>
      <c r="H126" s="52"/>
      <c r="I126" s="52"/>
      <c r="J126" s="52"/>
      <c r="K126" s="116"/>
      <c r="L126" s="54"/>
      <c r="M126" s="54"/>
      <c r="N126" s="31"/>
      <c r="O126" s="31"/>
      <c r="P126" s="31"/>
      <c r="Q126" s="31"/>
      <c r="R126" s="31"/>
      <c r="S126" s="31"/>
    </row>
    <row r="127" spans="1:19" ht="28.5" x14ac:dyDescent="0.25">
      <c r="A127" s="30"/>
      <c r="B127" s="117"/>
      <c r="C127" s="23"/>
      <c r="D127" s="53"/>
      <c r="E127" s="53"/>
      <c r="F127" s="53"/>
      <c r="G127" s="54"/>
      <c r="H127" s="54"/>
      <c r="I127" s="54"/>
      <c r="J127" s="54"/>
      <c r="K127" s="118"/>
      <c r="L127" s="54"/>
      <c r="M127" s="54"/>
      <c r="N127" s="31"/>
      <c r="O127" s="31"/>
      <c r="P127" s="31"/>
      <c r="Q127" s="31"/>
      <c r="R127" s="31"/>
      <c r="S127" s="31"/>
    </row>
    <row r="128" spans="1:19" x14ac:dyDescent="0.25">
      <c r="A128" s="30"/>
      <c r="B128" s="31"/>
      <c r="C128" s="31"/>
      <c r="D128" s="31"/>
      <c r="E128" s="31"/>
      <c r="F128" s="31"/>
      <c r="G128" s="31"/>
      <c r="H128" s="31"/>
      <c r="I128" s="31"/>
      <c r="J128" s="31"/>
      <c r="K128" s="34"/>
      <c r="L128" s="31"/>
      <c r="M128" s="31"/>
      <c r="N128" s="31"/>
      <c r="O128" s="31"/>
      <c r="P128" s="31"/>
      <c r="Q128" s="31"/>
      <c r="R128" s="31"/>
      <c r="S128" s="31"/>
    </row>
    <row r="129" spans="1:19" ht="15.75" x14ac:dyDescent="0.25">
      <c r="A129" s="30"/>
      <c r="B129" s="31"/>
      <c r="C129" s="179" t="s">
        <v>131</v>
      </c>
      <c r="D129" s="180" t="str">
        <f>E10</f>
        <v>Amosite</v>
      </c>
      <c r="E129" s="128"/>
      <c r="F129" s="128"/>
      <c r="G129" s="31"/>
      <c r="H129" s="31"/>
      <c r="I129" s="31"/>
      <c r="J129" s="31"/>
      <c r="K129" s="34"/>
      <c r="L129" s="31"/>
      <c r="M129" s="31"/>
      <c r="N129" s="31"/>
      <c r="O129" s="31"/>
      <c r="P129" s="31"/>
      <c r="Q129" s="31"/>
      <c r="R129" s="31"/>
      <c r="S129" s="31"/>
    </row>
    <row r="130" spans="1:19" ht="31.5" x14ac:dyDescent="0.25">
      <c r="A130" s="30"/>
      <c r="B130" s="31"/>
      <c r="C130" s="174" t="s">
        <v>125</v>
      </c>
      <c r="D130" s="174" t="str">
        <f>E14</f>
        <v>Lifetime 80 years</v>
      </c>
      <c r="E130" s="176" t="str">
        <f>E11</f>
        <v>Linear</v>
      </c>
      <c r="F130" s="164"/>
      <c r="G130" s="175">
        <f>G83</f>
        <v>1.8550000164195849E-8</v>
      </c>
      <c r="H130" s="31"/>
      <c r="I130" s="31"/>
      <c r="J130" s="31"/>
      <c r="K130" s="34"/>
      <c r="L130" s="31"/>
      <c r="M130" s="31"/>
      <c r="N130" s="31"/>
      <c r="O130" s="31"/>
      <c r="P130" s="31"/>
      <c r="Q130" s="31"/>
      <c r="R130" s="31"/>
      <c r="S130" s="31"/>
    </row>
    <row r="131" spans="1:19" ht="31.5" x14ac:dyDescent="0.25">
      <c r="A131" s="30"/>
      <c r="B131" s="31"/>
      <c r="C131" s="174" t="s">
        <v>126</v>
      </c>
      <c r="D131" s="174" t="str">
        <f>E13</f>
        <v>All - population average</v>
      </c>
      <c r="E131" s="176" t="str">
        <f>E12</f>
        <v>Non-Linear</v>
      </c>
      <c r="F131" s="164"/>
      <c r="G131" s="175">
        <f>G123</f>
        <v>6.7222988217343032E-11</v>
      </c>
      <c r="H131" s="31"/>
      <c r="I131" s="31"/>
      <c r="J131" s="31"/>
      <c r="K131" s="34"/>
      <c r="L131" s="31"/>
      <c r="M131" s="31"/>
      <c r="N131" s="31"/>
      <c r="O131" s="31"/>
      <c r="P131" s="31"/>
      <c r="Q131" s="31"/>
      <c r="R131" s="31"/>
      <c r="S131" s="31"/>
    </row>
    <row r="132" spans="1:19" ht="15.75" x14ac:dyDescent="0.25">
      <c r="A132" s="30"/>
      <c r="B132" s="31"/>
      <c r="C132" s="174" t="s">
        <v>135</v>
      </c>
      <c r="D132" s="177"/>
      <c r="E132" s="178"/>
      <c r="F132" s="164"/>
      <c r="G132" s="175">
        <f>G130+G131</f>
        <v>1.8617223152413192E-8</v>
      </c>
      <c r="H132" s="31"/>
      <c r="I132" s="31"/>
      <c r="J132" s="31"/>
      <c r="K132" s="34"/>
      <c r="L132" s="31"/>
      <c r="M132" s="31"/>
      <c r="N132" s="31"/>
      <c r="O132" s="31"/>
      <c r="P132" s="31"/>
      <c r="Q132" s="31"/>
      <c r="R132" s="31"/>
      <c r="S132" s="31"/>
    </row>
    <row r="133" spans="1:19" x14ac:dyDescent="0.25">
      <c r="A133" s="30"/>
      <c r="B133" s="31"/>
      <c r="H133" s="31"/>
      <c r="I133" s="31"/>
      <c r="J133" s="31"/>
      <c r="K133" s="34"/>
    </row>
    <row r="134" spans="1:19" x14ac:dyDescent="0.25">
      <c r="A134" s="30"/>
      <c r="K134" s="34"/>
    </row>
    <row r="135" spans="1:19" ht="15.75" thickBot="1" x14ac:dyDescent="0.3">
      <c r="A135" s="38"/>
      <c r="B135" s="39"/>
      <c r="C135" s="39"/>
      <c r="D135" s="39"/>
      <c r="E135" s="39"/>
      <c r="F135" s="39"/>
      <c r="G135" s="39"/>
      <c r="H135" s="39"/>
      <c r="I135" s="39"/>
      <c r="J135" s="39"/>
      <c r="K135" s="40"/>
    </row>
    <row r="136" spans="1:19" x14ac:dyDescent="0.25">
      <c r="A136" s="31"/>
      <c r="B136" s="31"/>
      <c r="C136" s="31"/>
      <c r="D136" s="31"/>
      <c r="E136" s="31"/>
      <c r="F136" s="31"/>
      <c r="G136" s="31"/>
      <c r="H136" s="31"/>
      <c r="I136" s="31"/>
      <c r="J136" s="31"/>
      <c r="K136" s="31"/>
    </row>
    <row r="137" spans="1:19" x14ac:dyDescent="0.25">
      <c r="A137" s="31"/>
      <c r="B137" s="31"/>
      <c r="C137" s="31"/>
      <c r="D137" s="31"/>
      <c r="E137" s="31"/>
      <c r="F137" s="31"/>
      <c r="G137" s="31"/>
      <c r="H137" s="31"/>
      <c r="I137" s="31"/>
      <c r="J137" s="31"/>
      <c r="K137" s="31"/>
    </row>
    <row r="138" spans="1:19" x14ac:dyDescent="0.25">
      <c r="A138" s="31"/>
      <c r="B138" s="31"/>
      <c r="C138" s="31"/>
      <c r="D138" s="31"/>
      <c r="E138" s="31"/>
      <c r="F138" s="31"/>
      <c r="G138" s="31"/>
      <c r="H138" s="31"/>
      <c r="I138" s="31"/>
      <c r="J138" s="31"/>
      <c r="K138" s="31"/>
    </row>
    <row r="139" spans="1:19" x14ac:dyDescent="0.25">
      <c r="A139" s="31"/>
      <c r="B139" s="31"/>
      <c r="C139" s="31"/>
      <c r="D139" s="31"/>
      <c r="E139" s="31"/>
      <c r="F139" s="31"/>
      <c r="G139" s="31"/>
      <c r="H139" s="31"/>
      <c r="I139" s="31"/>
      <c r="J139" s="31"/>
      <c r="K139" s="31"/>
    </row>
    <row r="140" spans="1:19" x14ac:dyDescent="0.25">
      <c r="A140" s="31"/>
      <c r="B140" s="31"/>
      <c r="C140" s="31"/>
      <c r="D140" s="31"/>
      <c r="E140" s="31"/>
      <c r="F140" s="31"/>
      <c r="G140" s="31"/>
      <c r="H140" s="31"/>
      <c r="I140" s="31"/>
      <c r="J140" s="31"/>
      <c r="K140" s="31"/>
    </row>
    <row r="141" spans="1:19" x14ac:dyDescent="0.25">
      <c r="A141" s="31"/>
      <c r="B141" s="31"/>
      <c r="C141" s="31"/>
      <c r="D141" s="31"/>
      <c r="E141" s="31"/>
      <c r="F141" s="31"/>
      <c r="G141" s="31"/>
      <c r="H141" s="31"/>
      <c r="I141" s="31"/>
      <c r="J141" s="31"/>
      <c r="K141" s="31"/>
    </row>
    <row r="142" spans="1:19" x14ac:dyDescent="0.25">
      <c r="A142" s="31"/>
      <c r="B142" s="31"/>
      <c r="C142" s="31"/>
      <c r="D142" s="31"/>
      <c r="E142" s="31"/>
      <c r="F142" s="31"/>
      <c r="G142" s="31"/>
      <c r="H142" s="31"/>
      <c r="I142" s="31"/>
      <c r="J142" s="31"/>
      <c r="K142" s="31"/>
    </row>
    <row r="143" spans="1:19" x14ac:dyDescent="0.25">
      <c r="A143" s="31"/>
      <c r="B143" s="31"/>
      <c r="C143" s="31"/>
      <c r="D143" s="31"/>
      <c r="E143" s="31"/>
      <c r="F143" s="31"/>
      <c r="G143" s="31"/>
      <c r="H143" s="31"/>
      <c r="I143" s="31"/>
      <c r="J143" s="31"/>
      <c r="K143" s="31"/>
    </row>
    <row r="144" spans="1:19" x14ac:dyDescent="0.25">
      <c r="A144" s="31"/>
      <c r="B144" s="31"/>
      <c r="C144" s="31"/>
      <c r="D144" s="31"/>
      <c r="E144" s="31"/>
      <c r="F144" s="31"/>
      <c r="G144" s="31"/>
      <c r="H144" s="31"/>
      <c r="I144" s="31"/>
      <c r="J144" s="31"/>
      <c r="K144" s="31"/>
    </row>
    <row r="145" spans="1:11" x14ac:dyDescent="0.25">
      <c r="A145" s="31"/>
      <c r="B145" s="31"/>
      <c r="C145" s="31"/>
      <c r="D145" s="31"/>
      <c r="E145" s="31"/>
      <c r="F145" s="31"/>
      <c r="G145" s="31"/>
      <c r="H145" s="31"/>
      <c r="I145" s="31"/>
      <c r="J145" s="31"/>
      <c r="K145" s="31"/>
    </row>
    <row r="146" spans="1:11" x14ac:dyDescent="0.25">
      <c r="A146" s="31"/>
      <c r="B146" s="31"/>
      <c r="C146" s="31"/>
      <c r="D146" s="31"/>
      <c r="E146" s="31"/>
      <c r="F146" s="31"/>
      <c r="G146" s="31"/>
      <c r="H146" s="31"/>
      <c r="I146" s="31"/>
      <c r="J146" s="31"/>
      <c r="K146" s="31"/>
    </row>
    <row r="147" spans="1:11" x14ac:dyDescent="0.25">
      <c r="A147" s="31"/>
      <c r="B147" s="31"/>
      <c r="C147" s="31"/>
      <c r="D147" s="31"/>
      <c r="E147" s="31"/>
      <c r="F147" s="31"/>
      <c r="G147" s="31"/>
      <c r="H147" s="31"/>
      <c r="I147" s="31"/>
      <c r="J147" s="31"/>
      <c r="K147" s="31"/>
    </row>
    <row r="148" spans="1:11" x14ac:dyDescent="0.25">
      <c r="A148" s="31"/>
      <c r="B148" s="31"/>
      <c r="C148" s="31"/>
      <c r="D148" s="31"/>
      <c r="E148" s="31"/>
      <c r="F148" s="31"/>
      <c r="G148" s="31"/>
      <c r="H148" s="31"/>
      <c r="I148" s="31"/>
      <c r="J148" s="31"/>
      <c r="K148" s="31"/>
    </row>
    <row r="149" spans="1:11" x14ac:dyDescent="0.25">
      <c r="A149" s="31"/>
      <c r="B149" s="31"/>
      <c r="C149" s="31"/>
      <c r="D149" s="31"/>
      <c r="E149" s="31"/>
      <c r="F149" s="31"/>
      <c r="G149" s="31"/>
      <c r="H149" s="31"/>
      <c r="I149" s="31"/>
      <c r="J149" s="31"/>
      <c r="K149" s="31"/>
    </row>
    <row r="150" spans="1:11" x14ac:dyDescent="0.25">
      <c r="A150" s="31"/>
      <c r="B150" s="31"/>
      <c r="C150" s="31"/>
      <c r="D150" s="31"/>
      <c r="E150" s="31"/>
      <c r="F150" s="31"/>
      <c r="G150" s="31"/>
      <c r="H150" s="31"/>
      <c r="I150" s="31"/>
      <c r="J150" s="31"/>
      <c r="K150" s="31"/>
    </row>
    <row r="151" spans="1:11" x14ac:dyDescent="0.25">
      <c r="A151" s="31"/>
      <c r="B151" s="31"/>
      <c r="C151" s="31"/>
      <c r="D151" s="31"/>
      <c r="E151" s="31"/>
      <c r="F151" s="31"/>
      <c r="G151" s="31"/>
      <c r="H151" s="31"/>
      <c r="I151" s="31"/>
      <c r="J151" s="31"/>
      <c r="K151" s="31"/>
    </row>
    <row r="152" spans="1:11" x14ac:dyDescent="0.25">
      <c r="A152" s="31"/>
      <c r="B152" s="31"/>
      <c r="C152" s="31"/>
      <c r="D152" s="31"/>
      <c r="E152" s="31"/>
      <c r="F152" s="31"/>
      <c r="G152" s="31"/>
      <c r="H152" s="31"/>
      <c r="I152" s="31"/>
      <c r="J152" s="31"/>
      <c r="K152" s="31"/>
    </row>
    <row r="153" spans="1:11" x14ac:dyDescent="0.25">
      <c r="A153" s="31"/>
      <c r="B153" s="31"/>
      <c r="C153" s="31"/>
      <c r="D153" s="31"/>
      <c r="E153" s="31"/>
      <c r="F153" s="31"/>
      <c r="G153" s="31"/>
      <c r="H153" s="31"/>
      <c r="I153" s="31"/>
      <c r="J153" s="31"/>
      <c r="K153" s="31"/>
    </row>
    <row r="154" spans="1:11" x14ac:dyDescent="0.25">
      <c r="A154" s="31"/>
      <c r="B154" s="31"/>
      <c r="C154" s="31"/>
      <c r="D154" s="31"/>
      <c r="E154" s="31"/>
      <c r="F154" s="31"/>
      <c r="G154" s="31"/>
      <c r="H154" s="31"/>
      <c r="I154" s="31"/>
      <c r="J154" s="31"/>
      <c r="K154" s="31"/>
    </row>
    <row r="155" spans="1:11" x14ac:dyDescent="0.25">
      <c r="A155" s="31"/>
      <c r="B155" s="31"/>
      <c r="C155" s="31"/>
      <c r="D155" s="31"/>
      <c r="E155" s="31"/>
      <c r="F155" s="31"/>
      <c r="G155" s="31"/>
      <c r="H155" s="31"/>
      <c r="I155" s="31"/>
      <c r="J155" s="31"/>
      <c r="K155" s="31"/>
    </row>
    <row r="156" spans="1:11" x14ac:dyDescent="0.25">
      <c r="A156" s="31"/>
      <c r="B156" s="31"/>
      <c r="C156" s="31"/>
      <c r="D156" s="31"/>
      <c r="E156" s="31"/>
      <c r="F156" s="31"/>
      <c r="G156" s="31"/>
      <c r="H156" s="31"/>
      <c r="I156" s="31"/>
      <c r="J156" s="31"/>
      <c r="K156" s="31"/>
    </row>
    <row r="157" spans="1:11" x14ac:dyDescent="0.25">
      <c r="A157" s="31"/>
      <c r="B157" s="31"/>
      <c r="C157" s="31"/>
      <c r="D157" s="31"/>
      <c r="E157" s="31"/>
      <c r="F157" s="31"/>
      <c r="G157" s="31"/>
      <c r="H157" s="31"/>
      <c r="I157" s="31"/>
      <c r="J157" s="31"/>
      <c r="K157" s="31"/>
    </row>
    <row r="158" spans="1:11" x14ac:dyDescent="0.25">
      <c r="A158" s="31"/>
      <c r="B158" s="31"/>
      <c r="C158" s="31"/>
      <c r="D158" s="31"/>
      <c r="E158" s="31"/>
      <c r="F158" s="31"/>
      <c r="G158" s="31"/>
      <c r="H158" s="31"/>
      <c r="I158" s="31"/>
      <c r="J158" s="31"/>
      <c r="K158" s="31"/>
    </row>
    <row r="159" spans="1:11" x14ac:dyDescent="0.25">
      <c r="A159" s="31"/>
      <c r="B159" s="31"/>
      <c r="C159" s="31"/>
      <c r="D159" s="31"/>
      <c r="E159" s="31"/>
      <c r="F159" s="31"/>
      <c r="G159" s="31"/>
      <c r="H159" s="31"/>
      <c r="I159" s="31"/>
      <c r="J159" s="31"/>
      <c r="K159" s="31"/>
    </row>
    <row r="160" spans="1:11" x14ac:dyDescent="0.25">
      <c r="A160" s="31"/>
      <c r="B160" s="31"/>
      <c r="C160" s="31"/>
      <c r="D160" s="31"/>
      <c r="E160" s="31"/>
      <c r="F160" s="31"/>
      <c r="G160" s="31"/>
      <c r="H160" s="31"/>
      <c r="I160" s="31"/>
      <c r="J160" s="31"/>
      <c r="K160" s="31"/>
    </row>
    <row r="161" spans="1:11" x14ac:dyDescent="0.25">
      <c r="A161" s="31"/>
      <c r="B161" s="31"/>
      <c r="C161" s="31"/>
      <c r="D161" s="31"/>
      <c r="E161" s="31"/>
      <c r="F161" s="31"/>
      <c r="G161" s="31"/>
      <c r="H161" s="31"/>
      <c r="I161" s="31"/>
      <c r="J161" s="31"/>
      <c r="K161" s="31"/>
    </row>
    <row r="162" spans="1:11" x14ac:dyDescent="0.25">
      <c r="A162" s="31"/>
      <c r="B162" s="31"/>
      <c r="C162" s="31"/>
      <c r="D162" s="31"/>
      <c r="E162" s="31"/>
      <c r="F162" s="31"/>
      <c r="G162" s="31"/>
      <c r="H162" s="31"/>
      <c r="I162" s="31"/>
      <c r="J162" s="31"/>
      <c r="K162" s="31"/>
    </row>
    <row r="163" spans="1:11" x14ac:dyDescent="0.25">
      <c r="A163" s="31"/>
      <c r="B163" s="31"/>
      <c r="C163" s="31"/>
      <c r="D163" s="31"/>
      <c r="E163" s="31"/>
      <c r="F163" s="31"/>
      <c r="G163" s="31"/>
      <c r="H163" s="31"/>
      <c r="I163" s="31"/>
      <c r="J163" s="31"/>
      <c r="K163" s="31"/>
    </row>
    <row r="164" spans="1:11" x14ac:dyDescent="0.25">
      <c r="A164" s="31"/>
      <c r="B164" s="31"/>
      <c r="C164" s="31"/>
      <c r="D164" s="31"/>
      <c r="E164" s="31"/>
      <c r="F164" s="31"/>
      <c r="G164" s="31"/>
      <c r="H164" s="31"/>
      <c r="I164" s="31"/>
      <c r="J164" s="31"/>
      <c r="K164" s="31"/>
    </row>
    <row r="165" spans="1:11" x14ac:dyDescent="0.25">
      <c r="A165" s="31"/>
      <c r="B165" s="31"/>
      <c r="C165" s="31"/>
      <c r="D165" s="31"/>
      <c r="E165" s="31"/>
      <c r="F165" s="31"/>
      <c r="G165" s="31"/>
      <c r="H165" s="31"/>
      <c r="I165" s="31"/>
      <c r="J165" s="31"/>
      <c r="K165" s="31"/>
    </row>
    <row r="166" spans="1:11" x14ac:dyDescent="0.25">
      <c r="A166" s="31"/>
      <c r="B166" s="31"/>
      <c r="C166" s="31"/>
      <c r="D166" s="31"/>
      <c r="E166" s="31"/>
      <c r="F166" s="31"/>
      <c r="G166" s="31"/>
      <c r="H166" s="31"/>
      <c r="I166" s="31"/>
      <c r="J166" s="31"/>
      <c r="K166" s="31"/>
    </row>
    <row r="167" spans="1:11" x14ac:dyDescent="0.25">
      <c r="A167" s="31"/>
      <c r="B167" s="31"/>
      <c r="C167" s="31"/>
      <c r="D167" s="31"/>
      <c r="E167" s="31"/>
      <c r="F167" s="31"/>
      <c r="G167" s="31"/>
      <c r="H167" s="31"/>
      <c r="I167" s="31"/>
      <c r="J167" s="31"/>
      <c r="K167" s="31"/>
    </row>
    <row r="168" spans="1:11" x14ac:dyDescent="0.25">
      <c r="A168" s="31"/>
      <c r="B168" s="31"/>
      <c r="C168" s="31"/>
      <c r="D168" s="31"/>
      <c r="E168" s="31"/>
      <c r="F168" s="31"/>
      <c r="G168" s="31"/>
      <c r="H168" s="31"/>
      <c r="I168" s="31"/>
      <c r="J168" s="31"/>
      <c r="K168" s="31"/>
    </row>
    <row r="169" spans="1:11" x14ac:dyDescent="0.25">
      <c r="A169" s="31"/>
      <c r="B169" s="31"/>
      <c r="C169" s="31"/>
      <c r="D169" s="31"/>
      <c r="E169" s="31"/>
      <c r="F169" s="31"/>
      <c r="G169" s="31"/>
      <c r="H169" s="31"/>
      <c r="I169" s="31"/>
      <c r="J169" s="31"/>
      <c r="K169" s="31"/>
    </row>
    <row r="170" spans="1:11" x14ac:dyDescent="0.25">
      <c r="A170" s="31"/>
      <c r="B170" s="31"/>
      <c r="C170" s="31"/>
      <c r="D170" s="31"/>
      <c r="E170" s="31"/>
      <c r="F170" s="31"/>
      <c r="G170" s="31"/>
      <c r="H170" s="31"/>
      <c r="I170" s="31"/>
      <c r="J170" s="31"/>
      <c r="K170" s="31"/>
    </row>
    <row r="171" spans="1:11" x14ac:dyDescent="0.25">
      <c r="A171" s="31"/>
      <c r="B171" s="31"/>
      <c r="C171" s="31"/>
      <c r="D171" s="31"/>
      <c r="E171" s="31"/>
      <c r="F171" s="31"/>
      <c r="G171" s="31"/>
      <c r="H171" s="31"/>
      <c r="I171" s="31"/>
      <c r="J171" s="31"/>
      <c r="K171" s="31"/>
    </row>
    <row r="172" spans="1:11" x14ac:dyDescent="0.25">
      <c r="A172" s="31"/>
      <c r="B172" s="31"/>
      <c r="C172" s="31"/>
      <c r="D172" s="31"/>
      <c r="E172" s="31"/>
      <c r="F172" s="31"/>
      <c r="G172" s="31"/>
      <c r="H172" s="31"/>
      <c r="I172" s="31"/>
      <c r="J172" s="31"/>
      <c r="K172" s="31"/>
    </row>
    <row r="173" spans="1:11" x14ac:dyDescent="0.25">
      <c r="A173" s="31"/>
      <c r="B173" s="31"/>
      <c r="C173" s="31"/>
      <c r="D173" s="31"/>
      <c r="E173" s="31"/>
      <c r="F173" s="31"/>
      <c r="G173" s="31"/>
      <c r="H173" s="31"/>
      <c r="I173" s="31"/>
      <c r="J173" s="31"/>
      <c r="K173" s="31"/>
    </row>
    <row r="174" spans="1:11" x14ac:dyDescent="0.25">
      <c r="A174" s="31"/>
      <c r="B174" s="31"/>
      <c r="C174" s="31"/>
      <c r="D174" s="31"/>
      <c r="E174" s="31"/>
      <c r="F174" s="31"/>
      <c r="G174" s="31"/>
      <c r="H174" s="31"/>
      <c r="I174" s="31"/>
      <c r="J174" s="31"/>
      <c r="K174" s="31"/>
    </row>
    <row r="175" spans="1:11" x14ac:dyDescent="0.25">
      <c r="A175" s="31"/>
      <c r="B175" s="31"/>
      <c r="C175" s="31"/>
      <c r="D175" s="31"/>
      <c r="E175" s="31"/>
      <c r="F175" s="31"/>
      <c r="G175" s="31"/>
      <c r="H175" s="31"/>
      <c r="I175" s="31"/>
      <c r="J175" s="31"/>
      <c r="K175" s="31"/>
    </row>
    <row r="176" spans="1:11" x14ac:dyDescent="0.25">
      <c r="A176" s="31"/>
      <c r="B176" s="31"/>
      <c r="C176" s="31"/>
      <c r="D176" s="31"/>
      <c r="E176" s="31"/>
      <c r="F176" s="31"/>
      <c r="G176" s="31"/>
      <c r="H176" s="31"/>
      <c r="I176" s="31"/>
      <c r="J176" s="31"/>
      <c r="K176" s="31"/>
    </row>
    <row r="177" spans="1:11" x14ac:dyDescent="0.25">
      <c r="A177" s="31"/>
      <c r="B177" s="31"/>
      <c r="C177" s="31"/>
      <c r="D177" s="31"/>
      <c r="E177" s="31"/>
      <c r="F177" s="31"/>
      <c r="G177" s="31"/>
      <c r="H177" s="31"/>
      <c r="I177" s="31"/>
      <c r="J177" s="31"/>
      <c r="K177" s="31"/>
    </row>
    <row r="178" spans="1:11" x14ac:dyDescent="0.25">
      <c r="A178" s="31"/>
      <c r="B178" s="31"/>
      <c r="C178" s="31"/>
      <c r="D178" s="31"/>
      <c r="E178" s="31"/>
      <c r="F178" s="31"/>
      <c r="G178" s="31"/>
      <c r="H178" s="31"/>
      <c r="I178" s="31"/>
      <c r="J178" s="31"/>
      <c r="K178" s="31"/>
    </row>
    <row r="179" spans="1:11" x14ac:dyDescent="0.25">
      <c r="A179" s="31"/>
      <c r="B179" s="31"/>
      <c r="C179" s="31"/>
      <c r="D179" s="31"/>
      <c r="E179" s="31"/>
      <c r="F179" s="31"/>
      <c r="G179" s="31"/>
      <c r="H179" s="31"/>
      <c r="I179" s="31"/>
      <c r="J179" s="31"/>
      <c r="K179" s="31"/>
    </row>
    <row r="180" spans="1:11" x14ac:dyDescent="0.25">
      <c r="A180" s="31"/>
      <c r="B180" s="31"/>
      <c r="C180" s="31"/>
      <c r="D180" s="31"/>
      <c r="E180" s="31"/>
      <c r="F180" s="31"/>
      <c r="G180" s="31"/>
      <c r="H180" s="31"/>
      <c r="I180" s="31"/>
      <c r="J180" s="31"/>
      <c r="K180" s="31"/>
    </row>
    <row r="181" spans="1:11" x14ac:dyDescent="0.25">
      <c r="A181" s="31"/>
      <c r="B181" s="31"/>
      <c r="C181" s="31"/>
      <c r="D181" s="31"/>
      <c r="E181" s="31"/>
      <c r="F181" s="31"/>
      <c r="G181" s="31"/>
      <c r="H181" s="31"/>
      <c r="I181" s="31"/>
      <c r="J181" s="31"/>
      <c r="K181" s="31"/>
    </row>
    <row r="182" spans="1:11" x14ac:dyDescent="0.25">
      <c r="A182" s="31"/>
      <c r="B182" s="31"/>
      <c r="C182" s="31"/>
      <c r="D182" s="31"/>
      <c r="E182" s="31"/>
      <c r="F182" s="31"/>
      <c r="G182" s="31"/>
      <c r="H182" s="31"/>
      <c r="I182" s="31"/>
      <c r="J182" s="31"/>
      <c r="K182" s="31"/>
    </row>
    <row r="183" spans="1:11" x14ac:dyDescent="0.25">
      <c r="A183" s="31"/>
      <c r="B183" s="31"/>
      <c r="C183" s="31"/>
      <c r="D183" s="31"/>
      <c r="E183" s="31"/>
      <c r="F183" s="31"/>
      <c r="G183" s="31"/>
      <c r="H183" s="31"/>
      <c r="I183" s="31"/>
      <c r="J183" s="31"/>
      <c r="K183" s="31"/>
    </row>
    <row r="184" spans="1:11" x14ac:dyDescent="0.25">
      <c r="A184" s="31"/>
      <c r="B184" s="31"/>
      <c r="C184" s="31"/>
      <c r="D184" s="31"/>
      <c r="E184" s="31"/>
      <c r="F184" s="31"/>
      <c r="G184" s="31"/>
      <c r="H184" s="31"/>
      <c r="I184" s="31"/>
      <c r="J184" s="31"/>
      <c r="K184" s="31"/>
    </row>
    <row r="185" spans="1:11" x14ac:dyDescent="0.25">
      <c r="A185" s="31"/>
      <c r="B185" s="31"/>
      <c r="C185" s="31"/>
      <c r="D185" s="31"/>
      <c r="E185" s="31"/>
      <c r="F185" s="31"/>
      <c r="G185" s="31"/>
      <c r="H185" s="31"/>
      <c r="I185" s="31"/>
      <c r="J185" s="31"/>
      <c r="K185" s="31"/>
    </row>
    <row r="186" spans="1:11" x14ac:dyDescent="0.25">
      <c r="A186" s="31"/>
      <c r="B186" s="31"/>
      <c r="C186" s="31"/>
      <c r="D186" s="31"/>
      <c r="E186" s="31"/>
      <c r="F186" s="31"/>
      <c r="G186" s="31"/>
      <c r="H186" s="31"/>
      <c r="I186" s="31"/>
      <c r="J186" s="31"/>
      <c r="K186" s="31"/>
    </row>
    <row r="187" spans="1:11" x14ac:dyDescent="0.25">
      <c r="A187" s="31"/>
      <c r="B187" s="31"/>
      <c r="C187" s="31"/>
      <c r="D187" s="31"/>
      <c r="E187" s="31"/>
      <c r="F187" s="31"/>
      <c r="G187" s="31"/>
      <c r="H187" s="31"/>
      <c r="I187" s="31"/>
      <c r="J187" s="31"/>
      <c r="K187" s="31"/>
    </row>
    <row r="188" spans="1:11" x14ac:dyDescent="0.25">
      <c r="A188" s="31"/>
      <c r="B188" s="31"/>
      <c r="C188" s="31"/>
      <c r="D188" s="31"/>
      <c r="E188" s="31"/>
      <c r="F188" s="31"/>
      <c r="G188" s="31"/>
      <c r="H188" s="31"/>
      <c r="I188" s="31"/>
      <c r="J188" s="31"/>
      <c r="K188" s="31"/>
    </row>
    <row r="189" spans="1:11" x14ac:dyDescent="0.25">
      <c r="A189" s="31"/>
      <c r="B189" s="31"/>
      <c r="C189" s="31"/>
      <c r="D189" s="31"/>
      <c r="E189" s="31"/>
      <c r="F189" s="31"/>
      <c r="G189" s="31"/>
      <c r="H189" s="31"/>
      <c r="I189" s="31"/>
      <c r="J189" s="31"/>
      <c r="K189" s="31"/>
    </row>
    <row r="190" spans="1:11" x14ac:dyDescent="0.25">
      <c r="A190" s="31"/>
      <c r="B190" s="31"/>
      <c r="C190" s="31"/>
      <c r="D190" s="31"/>
      <c r="E190" s="31"/>
      <c r="F190" s="31"/>
      <c r="G190" s="31"/>
      <c r="H190" s="31"/>
      <c r="I190" s="31"/>
      <c r="J190" s="31"/>
      <c r="K190" s="31"/>
    </row>
    <row r="191" spans="1:11" x14ac:dyDescent="0.25">
      <c r="A191" s="31"/>
      <c r="B191" s="31"/>
      <c r="C191" s="31"/>
      <c r="D191" s="31"/>
      <c r="E191" s="31"/>
      <c r="F191" s="31"/>
      <c r="G191" s="31"/>
      <c r="H191" s="31"/>
      <c r="I191" s="31"/>
      <c r="J191" s="31"/>
      <c r="K191" s="31"/>
    </row>
    <row r="192" spans="1:11" x14ac:dyDescent="0.25">
      <c r="A192" s="31"/>
      <c r="B192" s="31"/>
      <c r="C192" s="31"/>
      <c r="D192" s="31"/>
      <c r="E192" s="31"/>
      <c r="F192" s="31"/>
      <c r="G192" s="31"/>
      <c r="H192" s="31"/>
      <c r="I192" s="31"/>
      <c r="J192" s="31"/>
      <c r="K192" s="31"/>
    </row>
    <row r="194" spans="1:11" x14ac:dyDescent="0.25">
      <c r="A194" s="181" t="s">
        <v>188</v>
      </c>
    </row>
    <row r="195" spans="1:11" ht="45" customHeight="1" x14ac:dyDescent="0.25">
      <c r="A195" s="190" t="s">
        <v>193</v>
      </c>
      <c r="B195" s="190"/>
      <c r="C195" s="190"/>
      <c r="D195" s="190"/>
      <c r="E195" s="190"/>
      <c r="F195" s="190"/>
      <c r="G195" s="190"/>
      <c r="H195" s="190"/>
      <c r="I195" s="190"/>
      <c r="J195" s="190"/>
      <c r="K195" s="190"/>
    </row>
    <row r="197" spans="1:11" x14ac:dyDescent="0.25">
      <c r="A197" s="19" t="s">
        <v>189</v>
      </c>
    </row>
    <row r="198" spans="1:11" x14ac:dyDescent="0.25">
      <c r="K198" s="19" t="s">
        <v>191</v>
      </c>
    </row>
  </sheetData>
  <sheetProtection password="9FAF" sheet="1" selectLockedCells="1"/>
  <mergeCells count="18">
    <mergeCell ref="F62:H62"/>
    <mergeCell ref="F63:H63"/>
    <mergeCell ref="F64:H64"/>
    <mergeCell ref="F107:H107"/>
    <mergeCell ref="A195:K195"/>
    <mergeCell ref="D26:F26"/>
    <mergeCell ref="C66:D66"/>
    <mergeCell ref="C81:G81"/>
    <mergeCell ref="D59:H59"/>
    <mergeCell ref="D103:H103"/>
    <mergeCell ref="F60:H60"/>
    <mergeCell ref="F65:H65"/>
    <mergeCell ref="D69:D80"/>
    <mergeCell ref="F105:H105"/>
    <mergeCell ref="F106:H106"/>
    <mergeCell ref="F104:H104"/>
    <mergeCell ref="D110:D121"/>
    <mergeCell ref="F61:H61"/>
  </mergeCells>
  <printOptions horizontalCentered="1"/>
  <pageMargins left="0.70866141732283472" right="0.70866141732283472" top="0.74803149606299213" bottom="0.74803149606299213" header="0.31496062992125984" footer="0.31496062992125984"/>
  <pageSetup paperSize="8" scale="58" fitToHeight="0" orientation="portrait" r:id="rId1"/>
  <rowBreaks count="1" manualBreakCount="1">
    <brk id="89" max="10"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F2B23F3B-AD43-4657-B6B9-08448066667E}">
          <x14:formula1>
            <xm:f>'Parameter look up and reference'!$A$56:$A$58</xm:f>
          </x14:formula1>
          <xm:sqref>E10</xm:sqref>
        </x14:dataValidation>
        <x14:dataValidation type="list" allowBlank="1" showInputMessage="1" showErrorMessage="1" xr:uid="{DF21E55D-D53F-4F57-80AE-2E2BE3694955}">
          <x14:formula1>
            <xm:f>'Parameter look up and reference'!$A$47:$A$49</xm:f>
          </x14:formula1>
          <xm:sqref>E14</xm:sqref>
        </x14:dataValidation>
        <x14:dataValidation type="list" allowBlank="1" showInputMessage="1" showErrorMessage="1" xr:uid="{B1051DBF-36FA-4800-96C4-F3263D5F1AB9}">
          <x14:formula1>
            <xm:f>'Parameter look up and reference'!$A$51:$A$52</xm:f>
          </x14:formula1>
          <xm:sqref>E15</xm:sqref>
        </x14:dataValidation>
        <x14:dataValidation type="list" allowBlank="1" showInputMessage="1" showErrorMessage="1" xr:uid="{59724E00-FB1D-4BCF-816B-53DDC1ED0453}">
          <x14:formula1>
            <xm:f>'Parameter look up and reference'!$A$61:$A$62</xm:f>
          </x14:formula1>
          <xm:sqref>E11:E12</xm:sqref>
        </x14:dataValidation>
        <x14:dataValidation type="list" allowBlank="1" showInputMessage="1" showErrorMessage="1" xr:uid="{0EEAC8F0-99AF-4442-B6EB-EB97DD2802E7}">
          <x14:formula1>
            <xm:f>'Parameter look up and reference'!$A$28:$A$39</xm:f>
          </x14:formula1>
          <xm:sqref>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54E9-82A1-4A32-951B-2652FB0109F6}">
  <sheetPr codeName="Sheet2"/>
  <dimension ref="A1:O62"/>
  <sheetViews>
    <sheetView workbookViewId="0">
      <selection activeCell="B11" sqref="B11"/>
    </sheetView>
  </sheetViews>
  <sheetFormatPr defaultRowHeight="15" x14ac:dyDescent="0.25"/>
  <cols>
    <col min="1" max="1" width="64.85546875" style="18" customWidth="1"/>
    <col min="2" max="2" width="21.7109375" style="21" customWidth="1"/>
    <col min="3" max="3" width="19.85546875" style="21" customWidth="1"/>
    <col min="4" max="4" width="19.5703125" style="21" customWidth="1"/>
    <col min="5" max="5" width="22" style="21" customWidth="1"/>
    <col min="6" max="6" width="37" style="21" customWidth="1"/>
  </cols>
  <sheetData>
    <row r="1" spans="1:10" ht="15.75" x14ac:dyDescent="0.25">
      <c r="A1" s="84" t="s">
        <v>162</v>
      </c>
      <c r="B1" s="91"/>
      <c r="C1" s="91"/>
      <c r="D1" s="91"/>
      <c r="E1" s="91"/>
      <c r="F1" s="91"/>
      <c r="G1" s="91"/>
      <c r="H1" s="91"/>
      <c r="I1" s="92"/>
      <c r="J1" s="2"/>
    </row>
    <row r="2" spans="1:10" ht="15.75" x14ac:dyDescent="0.25">
      <c r="A2" s="204" t="s">
        <v>129</v>
      </c>
      <c r="B2" s="205"/>
      <c r="C2" s="205"/>
      <c r="D2" s="205"/>
      <c r="E2" s="205"/>
      <c r="F2" s="205"/>
      <c r="G2" s="205"/>
      <c r="H2" s="205"/>
      <c r="I2" s="206"/>
      <c r="J2" s="2"/>
    </row>
    <row r="3" spans="1:10" x14ac:dyDescent="0.25">
      <c r="A3" s="76"/>
      <c r="B3" s="134" t="s">
        <v>0</v>
      </c>
      <c r="C3" s="134" t="s">
        <v>1</v>
      </c>
      <c r="D3" s="134" t="s">
        <v>2</v>
      </c>
      <c r="E3" s="134" t="s">
        <v>3</v>
      </c>
      <c r="F3" s="134" t="s">
        <v>4</v>
      </c>
      <c r="G3" s="31"/>
      <c r="H3" s="31"/>
      <c r="I3" s="69"/>
      <c r="J3" s="2"/>
    </row>
    <row r="4" spans="1:10" x14ac:dyDescent="0.25">
      <c r="A4" s="76" t="s">
        <v>8</v>
      </c>
      <c r="B4" s="25">
        <v>4.7000000000000002E-3</v>
      </c>
      <c r="C4" s="25">
        <v>0.75</v>
      </c>
      <c r="D4" s="120">
        <v>9.9999999999999995E-21</v>
      </c>
      <c r="E4" s="25">
        <v>2.1</v>
      </c>
      <c r="F4" s="25">
        <v>0.7</v>
      </c>
      <c r="G4" s="31"/>
      <c r="H4" s="31"/>
      <c r="I4" s="69"/>
      <c r="J4" s="2"/>
    </row>
    <row r="5" spans="1:10" x14ac:dyDescent="0.25">
      <c r="A5" s="76" t="s">
        <v>9</v>
      </c>
      <c r="B5" s="25">
        <v>0.13</v>
      </c>
      <c r="C5" s="25">
        <v>0.75</v>
      </c>
      <c r="D5" s="25">
        <v>5.9999999999999995E-4</v>
      </c>
      <c r="E5" s="25">
        <v>2.1</v>
      </c>
      <c r="F5" s="25">
        <v>0.7</v>
      </c>
      <c r="G5" s="31"/>
      <c r="H5" s="31"/>
      <c r="I5" s="69"/>
      <c r="J5" s="2"/>
    </row>
    <row r="6" spans="1:10" x14ac:dyDescent="0.25">
      <c r="A6" s="76" t="s">
        <v>158</v>
      </c>
      <c r="B6" s="25">
        <v>0.94</v>
      </c>
      <c r="C6" s="25">
        <v>0.75</v>
      </c>
      <c r="D6" s="25">
        <v>2.2000000000000001E-3</v>
      </c>
      <c r="E6" s="25">
        <v>2.1</v>
      </c>
      <c r="F6" s="25">
        <v>0.7</v>
      </c>
      <c r="G6" s="31"/>
      <c r="H6" s="31"/>
      <c r="I6" s="69"/>
    </row>
    <row r="7" spans="1:10" ht="33.75" x14ac:dyDescent="0.25">
      <c r="A7" s="76" t="s">
        <v>12</v>
      </c>
      <c r="B7" s="87" t="s">
        <v>6</v>
      </c>
      <c r="C7" s="87" t="s">
        <v>6</v>
      </c>
      <c r="D7" s="87" t="s">
        <v>6</v>
      </c>
      <c r="E7" s="87" t="s">
        <v>6</v>
      </c>
      <c r="F7" s="87" t="s">
        <v>13</v>
      </c>
      <c r="G7" s="31"/>
      <c r="H7" s="31"/>
      <c r="I7" s="69"/>
    </row>
    <row r="8" spans="1:10" x14ac:dyDescent="0.25">
      <c r="A8" s="76" t="s">
        <v>7</v>
      </c>
      <c r="B8" s="132">
        <v>1E-3</v>
      </c>
      <c r="C8" s="132">
        <v>1</v>
      </c>
      <c r="D8" s="120">
        <v>9.9999999999999995E-21</v>
      </c>
      <c r="E8" s="25">
        <v>2.1</v>
      </c>
      <c r="F8" s="93">
        <v>0.7</v>
      </c>
      <c r="G8" s="31"/>
      <c r="H8" s="31"/>
      <c r="I8" s="69"/>
    </row>
    <row r="9" spans="1:10" x14ac:dyDescent="0.25">
      <c r="A9" s="76" t="s">
        <v>10</v>
      </c>
      <c r="B9" s="25">
        <v>0.1</v>
      </c>
      <c r="C9" s="25">
        <v>1</v>
      </c>
      <c r="D9" s="25">
        <v>5.9999999999999995E-4</v>
      </c>
      <c r="E9" s="25">
        <v>2.1</v>
      </c>
      <c r="F9" s="93">
        <v>0.7</v>
      </c>
      <c r="G9" s="31"/>
      <c r="H9" s="31"/>
      <c r="I9" s="69"/>
    </row>
    <row r="10" spans="1:10" x14ac:dyDescent="0.25">
      <c r="A10" s="76" t="s">
        <v>159</v>
      </c>
      <c r="B10" s="25">
        <v>0.51</v>
      </c>
      <c r="C10" s="25">
        <v>1</v>
      </c>
      <c r="D10" s="25">
        <v>2.2000000000000001E-3</v>
      </c>
      <c r="E10" s="25">
        <v>2.1</v>
      </c>
      <c r="F10" s="93">
        <v>0.7</v>
      </c>
      <c r="G10" s="31"/>
      <c r="H10" s="31"/>
      <c r="I10" s="69"/>
    </row>
    <row r="11" spans="1:10" ht="67.5" x14ac:dyDescent="0.25">
      <c r="A11" s="77" t="s">
        <v>11</v>
      </c>
      <c r="B11" s="89" t="s">
        <v>160</v>
      </c>
      <c r="C11" s="89" t="s">
        <v>14</v>
      </c>
      <c r="D11" s="89" t="s">
        <v>6</v>
      </c>
      <c r="E11" s="89" t="s">
        <v>6</v>
      </c>
      <c r="F11" s="89" t="s">
        <v>13</v>
      </c>
      <c r="G11" s="79"/>
      <c r="H11" s="79"/>
      <c r="I11" s="80"/>
    </row>
    <row r="12" spans="1:10" s="19" customFormat="1" x14ac:dyDescent="0.25">
      <c r="A12" s="18"/>
      <c r="B12" s="1"/>
      <c r="C12" s="1"/>
      <c r="D12" s="1"/>
      <c r="E12" s="1"/>
      <c r="F12" s="1"/>
    </row>
    <row r="13" spans="1:10" ht="15.75" x14ac:dyDescent="0.25">
      <c r="A13" s="84" t="s">
        <v>80</v>
      </c>
      <c r="B13" s="73"/>
      <c r="C13" s="73"/>
      <c r="D13" s="81"/>
      <c r="F13" s="133"/>
    </row>
    <row r="14" spans="1:10" s="2" customFormat="1" ht="15.75" x14ac:dyDescent="0.25">
      <c r="A14" s="85" t="s">
        <v>99</v>
      </c>
      <c r="B14" s="25"/>
      <c r="C14" s="25"/>
      <c r="D14" s="82"/>
      <c r="E14" s="21"/>
      <c r="F14" s="133"/>
    </row>
    <row r="15" spans="1:10" s="19" customFormat="1" x14ac:dyDescent="0.25">
      <c r="A15" s="86"/>
      <c r="B15" s="134" t="s">
        <v>82</v>
      </c>
      <c r="C15" s="134" t="s">
        <v>1</v>
      </c>
      <c r="D15" s="82"/>
      <c r="E15" s="21"/>
      <c r="F15" s="133"/>
    </row>
    <row r="16" spans="1:10" x14ac:dyDescent="0.25">
      <c r="A16" s="76" t="s">
        <v>8</v>
      </c>
      <c r="B16" s="25">
        <v>2.8000000000000001E-2</v>
      </c>
      <c r="C16" s="25">
        <v>1.3</v>
      </c>
      <c r="D16" s="82"/>
      <c r="F16" s="133"/>
    </row>
    <row r="17" spans="1:6" s="2" customFormat="1" x14ac:dyDescent="0.25">
      <c r="A17" s="76" t="s">
        <v>9</v>
      </c>
      <c r="B17" s="25">
        <v>1.6</v>
      </c>
      <c r="C17" s="25">
        <v>1.3</v>
      </c>
      <c r="D17" s="82"/>
      <c r="E17" s="21"/>
      <c r="F17" s="21"/>
    </row>
    <row r="18" spans="1:6" s="2" customFormat="1" x14ac:dyDescent="0.25">
      <c r="A18" s="76" t="s">
        <v>158</v>
      </c>
      <c r="B18" s="25">
        <v>1.6</v>
      </c>
      <c r="C18" s="25">
        <v>1.3</v>
      </c>
      <c r="D18" s="82"/>
      <c r="E18" s="21"/>
      <c r="F18" s="21"/>
    </row>
    <row r="19" spans="1:6" s="2" customFormat="1" ht="22.5" x14ac:dyDescent="0.25">
      <c r="A19" s="76" t="s">
        <v>12</v>
      </c>
      <c r="B19" s="87" t="s">
        <v>83</v>
      </c>
      <c r="C19" s="87" t="s">
        <v>83</v>
      </c>
      <c r="D19" s="82"/>
      <c r="E19" s="21"/>
      <c r="F19" s="21"/>
    </row>
    <row r="20" spans="1:6" x14ac:dyDescent="0.25">
      <c r="A20" s="76" t="s">
        <v>7</v>
      </c>
      <c r="B20" s="88">
        <v>0.1</v>
      </c>
      <c r="C20" s="88">
        <v>1</v>
      </c>
      <c r="D20" s="82"/>
    </row>
    <row r="21" spans="1:6" x14ac:dyDescent="0.25">
      <c r="A21" s="76" t="s">
        <v>10</v>
      </c>
      <c r="B21" s="132">
        <v>5.0999999999999996</v>
      </c>
      <c r="C21" s="132">
        <v>1</v>
      </c>
      <c r="D21" s="82"/>
    </row>
    <row r="22" spans="1:6" x14ac:dyDescent="0.25">
      <c r="A22" s="76" t="s">
        <v>159</v>
      </c>
      <c r="B22" s="88">
        <v>5.0999999999999996</v>
      </c>
      <c r="C22" s="88">
        <v>1</v>
      </c>
      <c r="D22" s="82"/>
    </row>
    <row r="23" spans="1:6" ht="135" x14ac:dyDescent="0.25">
      <c r="A23" s="77" t="s">
        <v>11</v>
      </c>
      <c r="B23" s="89" t="s">
        <v>81</v>
      </c>
      <c r="C23" s="89" t="s">
        <v>79</v>
      </c>
      <c r="D23" s="90"/>
    </row>
    <row r="27" spans="1:6" ht="15.75" x14ac:dyDescent="0.25">
      <c r="A27" s="72" t="s">
        <v>77</v>
      </c>
      <c r="B27" s="73"/>
      <c r="C27" s="73"/>
      <c r="D27" s="73"/>
      <c r="E27" s="73"/>
      <c r="F27" s="81"/>
    </row>
    <row r="28" spans="1:6" x14ac:dyDescent="0.25">
      <c r="A28" s="74" t="s">
        <v>68</v>
      </c>
      <c r="B28" s="119">
        <f>'lung can new'!W58/1000</f>
        <v>3.2714239262803375E-2</v>
      </c>
      <c r="C28" s="25" t="s">
        <v>78</v>
      </c>
      <c r="D28" s="25"/>
      <c r="E28" s="25"/>
      <c r="F28" s="82"/>
    </row>
    <row r="29" spans="1:6" x14ac:dyDescent="0.25">
      <c r="A29" s="74" t="s">
        <v>65</v>
      </c>
      <c r="B29" s="119">
        <f>$B28*smokers!T38</f>
        <v>0.10798274109892483</v>
      </c>
      <c r="C29" s="25" t="s">
        <v>137</v>
      </c>
      <c r="D29" s="25"/>
      <c r="E29" s="25"/>
      <c r="F29" s="82"/>
    </row>
    <row r="30" spans="1:6" x14ac:dyDescent="0.25">
      <c r="A30" s="74" t="s">
        <v>66</v>
      </c>
      <c r="B30" s="119">
        <f>$B28*smokers!U38</f>
        <v>2.6995685274731208E-2</v>
      </c>
      <c r="C30" s="25" t="s">
        <v>137</v>
      </c>
      <c r="D30" s="25"/>
      <c r="E30" s="25"/>
      <c r="F30" s="82"/>
    </row>
    <row r="31" spans="1:6" x14ac:dyDescent="0.25">
      <c r="A31" s="74" t="s">
        <v>67</v>
      </c>
      <c r="B31" s="119">
        <f>$B28*smokers!V38</f>
        <v>1.0798274109892482E-2</v>
      </c>
      <c r="C31" s="25" t="s">
        <v>137</v>
      </c>
      <c r="D31" s="25"/>
      <c r="E31" s="25"/>
      <c r="F31" s="82"/>
    </row>
    <row r="32" spans="1:6" x14ac:dyDescent="0.25">
      <c r="A32" s="74" t="s">
        <v>69</v>
      </c>
      <c r="B32" s="119">
        <f>'lung can new'!W63/1000</f>
        <v>3.6102670849867867E-2</v>
      </c>
      <c r="C32" s="25" t="s">
        <v>78</v>
      </c>
      <c r="D32" s="25"/>
      <c r="E32" s="25"/>
      <c r="F32" s="82"/>
    </row>
    <row r="33" spans="1:15" x14ac:dyDescent="0.25">
      <c r="A33" s="74" t="s">
        <v>70</v>
      </c>
      <c r="B33" s="119">
        <f>$B32*smokers!N38</f>
        <v>0.11232400751752544</v>
      </c>
      <c r="C33" s="25" t="s">
        <v>137</v>
      </c>
      <c r="D33" s="25"/>
      <c r="E33" s="25"/>
      <c r="F33" s="82"/>
    </row>
    <row r="34" spans="1:15" x14ac:dyDescent="0.25">
      <c r="A34" s="74" t="s">
        <v>71</v>
      </c>
      <c r="B34" s="119">
        <f>$B32*smokers!O38</f>
        <v>2.8081001879381361E-2</v>
      </c>
      <c r="C34" s="25" t="s">
        <v>137</v>
      </c>
      <c r="D34" s="25"/>
      <c r="E34" s="25"/>
      <c r="F34" s="82"/>
    </row>
    <row r="35" spans="1:15" x14ac:dyDescent="0.25">
      <c r="A35" s="74" t="s">
        <v>72</v>
      </c>
      <c r="B35" s="119">
        <f>$B32*smokers!P38</f>
        <v>1.1232400751752544E-2</v>
      </c>
      <c r="C35" s="25" t="s">
        <v>137</v>
      </c>
      <c r="D35" s="25"/>
      <c r="E35" s="25"/>
      <c r="F35" s="82"/>
    </row>
    <row r="36" spans="1:15" x14ac:dyDescent="0.25">
      <c r="A36" s="74" t="s">
        <v>73</v>
      </c>
      <c r="B36" s="119">
        <f>'lung can new'!W68/1000</f>
        <v>2.8818321108274508E-2</v>
      </c>
      <c r="C36" s="25" t="s">
        <v>78</v>
      </c>
      <c r="D36" s="25"/>
      <c r="E36" s="25"/>
      <c r="F36" s="82"/>
    </row>
    <row r="37" spans="1:15" x14ac:dyDescent="0.25">
      <c r="A37" s="74" t="s">
        <v>74</v>
      </c>
      <c r="B37" s="119">
        <f>$B36*smokers!Q38</f>
        <v>0.101005352516323</v>
      </c>
      <c r="C37" s="25" t="s">
        <v>137</v>
      </c>
      <c r="D37" s="25"/>
      <c r="E37" s="25"/>
      <c r="F37" s="82"/>
    </row>
    <row r="38" spans="1:15" x14ac:dyDescent="0.25">
      <c r="A38" s="74" t="s">
        <v>75</v>
      </c>
      <c r="B38" s="119">
        <f>$B36*smokers!R38</f>
        <v>2.5251338129080751E-2</v>
      </c>
      <c r="C38" s="25" t="s">
        <v>137</v>
      </c>
      <c r="D38" s="25"/>
      <c r="E38" s="25"/>
      <c r="F38" s="82"/>
    </row>
    <row r="39" spans="1:15" x14ac:dyDescent="0.25">
      <c r="A39" s="74" t="s">
        <v>76</v>
      </c>
      <c r="B39" s="119">
        <f>$B36*smokers!S38</f>
        <v>1.0100535251632301E-2</v>
      </c>
      <c r="C39" s="25" t="s">
        <v>137</v>
      </c>
      <c r="D39" s="25"/>
      <c r="E39" s="25"/>
      <c r="F39" s="82"/>
    </row>
    <row r="40" spans="1:15" x14ac:dyDescent="0.25">
      <c r="A40" s="77"/>
      <c r="B40" s="78"/>
      <c r="C40" s="78"/>
      <c r="D40" s="78"/>
      <c r="E40" s="78"/>
      <c r="F40" s="83"/>
    </row>
    <row r="43" spans="1:15" x14ac:dyDescent="0.25">
      <c r="A43" s="70"/>
      <c r="B43" s="207"/>
      <c r="C43" s="208"/>
    </row>
    <row r="44" spans="1:15" ht="15.75" x14ac:dyDescent="0.25">
      <c r="A44" s="72" t="s">
        <v>98</v>
      </c>
      <c r="B44" s="73"/>
      <c r="C44" s="73"/>
      <c r="D44" s="73"/>
      <c r="E44" s="73"/>
      <c r="F44" s="73"/>
      <c r="G44" s="73"/>
      <c r="H44" s="73"/>
      <c r="I44" s="73"/>
      <c r="J44" s="73"/>
      <c r="K44" s="73"/>
      <c r="L44" s="73"/>
      <c r="M44" s="73"/>
      <c r="N44" s="73"/>
      <c r="O44" s="68"/>
    </row>
    <row r="45" spans="1:15" s="19" customFormat="1" x14ac:dyDescent="0.25">
      <c r="A45" s="130" t="s">
        <v>138</v>
      </c>
      <c r="B45" s="25"/>
      <c r="C45" s="25"/>
      <c r="D45" s="25"/>
      <c r="E45" s="25"/>
      <c r="F45" s="25"/>
      <c r="G45" s="25"/>
      <c r="H45" s="25"/>
      <c r="I45" s="25"/>
      <c r="J45" s="25"/>
      <c r="K45" s="25"/>
      <c r="L45" s="25"/>
      <c r="M45" s="25"/>
      <c r="N45" s="25"/>
      <c r="O45" s="69"/>
    </row>
    <row r="46" spans="1:15" x14ac:dyDescent="0.25">
      <c r="A46" s="74" t="s">
        <v>84</v>
      </c>
      <c r="B46" s="36" t="s">
        <v>85</v>
      </c>
      <c r="C46" s="36" t="s">
        <v>86</v>
      </c>
      <c r="D46" s="36" t="s">
        <v>87</v>
      </c>
      <c r="E46" s="36" t="s">
        <v>88</v>
      </c>
      <c r="F46" s="36" t="s">
        <v>89</v>
      </c>
      <c r="G46" s="36" t="s">
        <v>90</v>
      </c>
      <c r="H46" s="36" t="s">
        <v>91</v>
      </c>
      <c r="I46" s="36" t="s">
        <v>92</v>
      </c>
      <c r="J46" s="36" t="s">
        <v>93</v>
      </c>
      <c r="K46" s="36" t="s">
        <v>94</v>
      </c>
      <c r="L46" s="36" t="s">
        <v>95</v>
      </c>
      <c r="M46" s="36" t="s">
        <v>96</v>
      </c>
      <c r="N46" s="25" t="s">
        <v>168</v>
      </c>
      <c r="O46" s="69"/>
    </row>
    <row r="47" spans="1:15" x14ac:dyDescent="0.25">
      <c r="A47" s="75" t="s">
        <v>97</v>
      </c>
      <c r="B47" s="71">
        <v>2.8</v>
      </c>
      <c r="C47" s="71">
        <v>2.7</v>
      </c>
      <c r="D47" s="71">
        <v>2.6</v>
      </c>
      <c r="E47" s="71">
        <v>2.5</v>
      </c>
      <c r="F47" s="71">
        <v>2.1</v>
      </c>
      <c r="G47" s="71">
        <v>1.5</v>
      </c>
      <c r="H47" s="71">
        <v>1</v>
      </c>
      <c r="I47" s="71">
        <v>0.6</v>
      </c>
      <c r="J47" s="71">
        <v>0.4</v>
      </c>
      <c r="K47" s="71">
        <v>0.3</v>
      </c>
      <c r="L47" s="71">
        <v>0.2</v>
      </c>
      <c r="M47" s="71">
        <v>0.1</v>
      </c>
      <c r="N47" s="123" t="s">
        <v>163</v>
      </c>
      <c r="O47" s="69"/>
    </row>
    <row r="48" spans="1:15" s="19" customFormat="1" x14ac:dyDescent="0.25">
      <c r="A48" s="75" t="s">
        <v>165</v>
      </c>
      <c r="B48" s="71">
        <v>7</v>
      </c>
      <c r="C48" s="71">
        <v>5.3</v>
      </c>
      <c r="D48" s="71">
        <v>4</v>
      </c>
      <c r="E48" s="71">
        <v>3</v>
      </c>
      <c r="F48" s="71">
        <v>2.1</v>
      </c>
      <c r="G48" s="71">
        <v>1.5</v>
      </c>
      <c r="H48" s="71">
        <v>1</v>
      </c>
      <c r="I48" s="71">
        <v>0.6</v>
      </c>
      <c r="J48" s="71">
        <v>0.4</v>
      </c>
      <c r="K48" s="71">
        <v>0.3</v>
      </c>
      <c r="L48" s="71">
        <v>0.2</v>
      </c>
      <c r="M48" s="71">
        <v>0.1</v>
      </c>
      <c r="N48" s="25" t="s">
        <v>179</v>
      </c>
      <c r="O48" s="69"/>
    </row>
    <row r="49" spans="1:15" x14ac:dyDescent="0.25">
      <c r="A49" s="75" t="s">
        <v>166</v>
      </c>
      <c r="B49" s="71">
        <v>11.3</v>
      </c>
      <c r="C49" s="71">
        <v>8.9</v>
      </c>
      <c r="D49" s="71">
        <v>7</v>
      </c>
      <c r="E49" s="71">
        <v>5.3</v>
      </c>
      <c r="F49" s="71">
        <v>4</v>
      </c>
      <c r="G49" s="71">
        <v>3</v>
      </c>
      <c r="H49" s="71">
        <v>2.1</v>
      </c>
      <c r="I49" s="71">
        <v>0.6</v>
      </c>
      <c r="J49" s="71">
        <v>0.4</v>
      </c>
      <c r="K49" s="71">
        <v>0.3</v>
      </c>
      <c r="L49" s="71">
        <v>0.2</v>
      </c>
      <c r="M49" s="71">
        <v>0.1</v>
      </c>
      <c r="N49" s="25" t="s">
        <v>178</v>
      </c>
      <c r="O49" s="69"/>
    </row>
    <row r="50" spans="1:15" s="19" customFormat="1" x14ac:dyDescent="0.25">
      <c r="A50" s="131" t="s">
        <v>139</v>
      </c>
      <c r="B50" s="36"/>
      <c r="C50" s="36"/>
      <c r="D50" s="36"/>
      <c r="E50" s="36"/>
      <c r="F50" s="36"/>
      <c r="G50" s="36"/>
      <c r="H50" s="36"/>
      <c r="I50" s="36"/>
      <c r="J50" s="36"/>
      <c r="K50" s="36"/>
      <c r="L50" s="36"/>
      <c r="M50" s="36"/>
      <c r="N50" s="25"/>
      <c r="O50" s="69"/>
    </row>
    <row r="51" spans="1:15" x14ac:dyDescent="0.25">
      <c r="A51" s="76" t="s">
        <v>140</v>
      </c>
      <c r="B51" s="71">
        <v>1</v>
      </c>
      <c r="C51" s="71">
        <v>1</v>
      </c>
      <c r="D51" s="71">
        <v>1</v>
      </c>
      <c r="E51" s="71">
        <v>1</v>
      </c>
      <c r="F51" s="71">
        <v>1</v>
      </c>
      <c r="G51" s="71">
        <v>1</v>
      </c>
      <c r="H51" s="71">
        <v>1</v>
      </c>
      <c r="I51" s="71">
        <v>1</v>
      </c>
      <c r="J51" s="71">
        <v>1</v>
      </c>
      <c r="K51" s="71">
        <v>1</v>
      </c>
      <c r="L51" s="71">
        <v>1</v>
      </c>
      <c r="M51" s="71">
        <v>1</v>
      </c>
      <c r="N51" s="25" t="s">
        <v>140</v>
      </c>
      <c r="O51" s="69"/>
    </row>
    <row r="52" spans="1:15" x14ac:dyDescent="0.25">
      <c r="A52" s="77" t="s">
        <v>150</v>
      </c>
      <c r="B52" s="71">
        <v>1</v>
      </c>
      <c r="C52" s="71">
        <v>1</v>
      </c>
      <c r="D52" s="71">
        <v>1</v>
      </c>
      <c r="E52" s="71">
        <v>1</v>
      </c>
      <c r="F52" s="71">
        <v>1</v>
      </c>
      <c r="G52" s="71">
        <v>1</v>
      </c>
      <c r="H52" s="71">
        <v>1</v>
      </c>
      <c r="I52" s="71">
        <v>1</v>
      </c>
      <c r="J52" s="71">
        <v>1</v>
      </c>
      <c r="K52" s="71">
        <v>0.75</v>
      </c>
      <c r="L52" s="71">
        <v>0.5</v>
      </c>
      <c r="M52" s="71">
        <v>0.25</v>
      </c>
      <c r="N52" s="25" t="s">
        <v>167</v>
      </c>
      <c r="O52" s="80"/>
    </row>
    <row r="55" spans="1:15" ht="15.75" x14ac:dyDescent="0.25">
      <c r="A55" s="97" t="s">
        <v>131</v>
      </c>
    </row>
    <row r="56" spans="1:15" x14ac:dyDescent="0.25">
      <c r="A56" s="98" t="s">
        <v>102</v>
      </c>
    </row>
    <row r="57" spans="1:15" x14ac:dyDescent="0.25">
      <c r="A57" s="98" t="s">
        <v>15</v>
      </c>
    </row>
    <row r="58" spans="1:15" x14ac:dyDescent="0.25">
      <c r="A58" s="99" t="s">
        <v>161</v>
      </c>
    </row>
    <row r="59" spans="1:15" s="19" customFormat="1" x14ac:dyDescent="0.25">
      <c r="A59" s="96"/>
      <c r="B59" s="21"/>
      <c r="C59" s="21"/>
      <c r="D59" s="21"/>
      <c r="E59" s="21"/>
      <c r="F59" s="21"/>
    </row>
    <row r="60" spans="1:15" ht="15.75" x14ac:dyDescent="0.25">
      <c r="A60" s="97" t="s">
        <v>132</v>
      </c>
    </row>
    <row r="61" spans="1:15" x14ac:dyDescent="0.25">
      <c r="A61" s="98" t="s">
        <v>130</v>
      </c>
    </row>
    <row r="62" spans="1:15" x14ac:dyDescent="0.25">
      <c r="A62" s="99" t="s">
        <v>5</v>
      </c>
    </row>
  </sheetData>
  <sheetProtection algorithmName="SHA-512" hashValue="J6eEI3Lq8JA4lNJgdjI1Bq+DW3lJk1+fg3ad8mO/fb2hrDDdlv8nJTnJ2ROPI1uRl8RyacZYOGuWI8NsxEmICw==" saltValue="CH+rRrw4JjB5s1Lpsc0Rug==" spinCount="100000" sheet="1" objects="1" scenarios="1" selectLockedCells="1"/>
  <mergeCells count="2">
    <mergeCell ref="A2:I2"/>
    <mergeCell ref="B43:C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DAFC5-D483-48F9-A40F-E251F3E215E9}">
  <sheetPr codeName="Sheet3"/>
  <dimension ref="A2:Y68"/>
  <sheetViews>
    <sheetView workbookViewId="0">
      <pane ySplit="3" topLeftCell="A52" activePane="bottomLeft" state="frozen"/>
      <selection activeCell="Y58" sqref="Y58"/>
      <selection pane="bottomLeft" activeCell="D6" sqref="D6"/>
    </sheetView>
  </sheetViews>
  <sheetFormatPr defaultRowHeight="15" x14ac:dyDescent="0.25"/>
  <cols>
    <col min="1" max="1" width="51.42578125" style="2" customWidth="1"/>
    <col min="2" max="9" width="9.140625" style="2"/>
    <col min="10" max="10" width="12" style="2" bestFit="1" customWidth="1"/>
    <col min="11" max="22" width="9.140625" style="2"/>
    <col min="23" max="23" width="11.85546875" style="3" bestFit="1" customWidth="1"/>
    <col min="24" max="24" width="10.140625" style="2" bestFit="1" customWidth="1"/>
    <col min="25" max="16384" width="9.140625" style="2"/>
  </cols>
  <sheetData>
    <row r="2" spans="1:23" x14ac:dyDescent="0.25">
      <c r="A2" s="2" t="s">
        <v>16</v>
      </c>
    </row>
    <row r="3" spans="1:23" x14ac:dyDescent="0.25">
      <c r="B3" s="6"/>
      <c r="C3" s="8"/>
      <c r="D3" s="8" t="s">
        <v>17</v>
      </c>
      <c r="E3" s="8" t="s">
        <v>18</v>
      </c>
      <c r="F3" s="8" t="s">
        <v>19</v>
      </c>
      <c r="G3" s="8" t="s">
        <v>20</v>
      </c>
      <c r="H3" s="8" t="s">
        <v>21</v>
      </c>
      <c r="I3" s="8" t="s">
        <v>22</v>
      </c>
      <c r="J3" s="8" t="s">
        <v>23</v>
      </c>
      <c r="K3" s="8" t="s">
        <v>24</v>
      </c>
      <c r="L3" s="8" t="s">
        <v>25</v>
      </c>
      <c r="M3" s="8" t="s">
        <v>26</v>
      </c>
      <c r="N3" s="8" t="s">
        <v>27</v>
      </c>
      <c r="O3" s="8" t="s">
        <v>28</v>
      </c>
      <c r="P3" s="8" t="s">
        <v>29</v>
      </c>
      <c r="Q3" s="8" t="s">
        <v>30</v>
      </c>
      <c r="R3" s="8" t="s">
        <v>31</v>
      </c>
      <c r="S3" s="8" t="s">
        <v>32</v>
      </c>
      <c r="T3" s="8" t="s">
        <v>33</v>
      </c>
      <c r="U3" s="8" t="s">
        <v>34</v>
      </c>
      <c r="V3" s="8" t="s">
        <v>35</v>
      </c>
      <c r="W3" s="12" t="s">
        <v>36</v>
      </c>
    </row>
    <row r="4" spans="1:23" x14ac:dyDescent="0.25">
      <c r="A4" s="5" t="s">
        <v>37</v>
      </c>
      <c r="B4" s="7">
        <v>2016</v>
      </c>
      <c r="C4" s="9"/>
      <c r="D4" s="9">
        <v>1719</v>
      </c>
      <c r="E4" s="9">
        <v>137</v>
      </c>
      <c r="F4" s="9">
        <v>160</v>
      </c>
      <c r="G4" s="9">
        <v>490</v>
      </c>
      <c r="H4" s="9">
        <v>974</v>
      </c>
      <c r="I4" s="9">
        <v>1234</v>
      </c>
      <c r="J4" s="9">
        <v>1616</v>
      </c>
      <c r="K4" s="9">
        <v>2058</v>
      </c>
      <c r="L4" s="9">
        <v>3257</v>
      </c>
      <c r="M4" s="9">
        <v>5110</v>
      </c>
      <c r="N4" s="9">
        <v>7417</v>
      </c>
      <c r="O4" s="9">
        <v>10130</v>
      </c>
      <c r="P4" s="9">
        <v>14265</v>
      </c>
      <c r="Q4" s="9">
        <v>22608</v>
      </c>
      <c r="R4" s="9">
        <v>28096</v>
      </c>
      <c r="S4" s="9">
        <v>35508</v>
      </c>
      <c r="T4" s="9">
        <v>43270</v>
      </c>
      <c r="U4" s="9">
        <v>42699</v>
      </c>
      <c r="V4" s="9">
        <v>36355</v>
      </c>
      <c r="W4" s="10">
        <v>257103</v>
      </c>
    </row>
    <row r="5" spans="1:23" x14ac:dyDescent="0.25">
      <c r="A5" s="5" t="s">
        <v>37</v>
      </c>
      <c r="B5" s="7">
        <v>2017</v>
      </c>
      <c r="C5" s="9"/>
      <c r="D5" s="9">
        <v>1721</v>
      </c>
      <c r="E5" s="9">
        <v>159</v>
      </c>
      <c r="F5" s="9">
        <v>152</v>
      </c>
      <c r="G5" s="9">
        <v>509</v>
      </c>
      <c r="H5" s="9">
        <v>854</v>
      </c>
      <c r="I5" s="9">
        <v>1169</v>
      </c>
      <c r="J5" s="9">
        <v>1495</v>
      </c>
      <c r="K5" s="9">
        <v>2171</v>
      </c>
      <c r="L5" s="9">
        <v>3074</v>
      </c>
      <c r="M5" s="9">
        <v>5152</v>
      </c>
      <c r="N5" s="9">
        <v>7496</v>
      </c>
      <c r="O5" s="9">
        <v>10360</v>
      </c>
      <c r="P5" s="9">
        <v>14261</v>
      </c>
      <c r="Q5" s="9">
        <v>21495</v>
      </c>
      <c r="R5" s="9">
        <v>30003</v>
      </c>
      <c r="S5" s="9">
        <v>35451</v>
      </c>
      <c r="T5" s="9">
        <v>44086</v>
      </c>
      <c r="U5" s="9">
        <v>43973</v>
      </c>
      <c r="V5" s="9">
        <v>38447</v>
      </c>
      <c r="W5" s="10">
        <v>262028</v>
      </c>
    </row>
    <row r="6" spans="1:23" x14ac:dyDescent="0.25">
      <c r="A6" s="5" t="s">
        <v>37</v>
      </c>
      <c r="B6" s="7">
        <v>2018</v>
      </c>
      <c r="C6" s="9"/>
      <c r="D6" s="9">
        <v>1645</v>
      </c>
      <c r="E6" s="9">
        <v>136</v>
      </c>
      <c r="F6" s="9">
        <v>191</v>
      </c>
      <c r="G6" s="9">
        <v>554</v>
      </c>
      <c r="H6" s="9">
        <v>973</v>
      </c>
      <c r="I6" s="9">
        <v>1215</v>
      </c>
      <c r="J6" s="9">
        <v>1628</v>
      </c>
      <c r="K6" s="9">
        <v>2237</v>
      </c>
      <c r="L6" s="9">
        <v>3142</v>
      </c>
      <c r="M6" s="9">
        <v>5200</v>
      </c>
      <c r="N6" s="9">
        <v>7803</v>
      </c>
      <c r="O6" s="9">
        <v>10700</v>
      </c>
      <c r="P6" s="9">
        <v>14264</v>
      </c>
      <c r="Q6" s="9">
        <v>21141</v>
      </c>
      <c r="R6" s="9">
        <v>31205</v>
      </c>
      <c r="S6" s="9">
        <v>35959</v>
      </c>
      <c r="T6" s="9">
        <v>44677</v>
      </c>
      <c r="U6" s="9">
        <v>45249</v>
      </c>
      <c r="V6" s="9">
        <v>39243</v>
      </c>
      <c r="W6" s="10">
        <v>267162</v>
      </c>
    </row>
    <row r="7" spans="1:23" x14ac:dyDescent="0.25">
      <c r="A7" s="5"/>
      <c r="B7" s="7" t="s">
        <v>38</v>
      </c>
      <c r="C7" s="9"/>
      <c r="D7" s="9">
        <v>1695</v>
      </c>
      <c r="E7" s="9">
        <f t="shared" ref="E7:W7" si="0">SUM(E4:E6)/3</f>
        <v>144</v>
      </c>
      <c r="F7" s="9">
        <f t="shared" si="0"/>
        <v>167.66666666666666</v>
      </c>
      <c r="G7" s="9">
        <f t="shared" si="0"/>
        <v>517.66666666666663</v>
      </c>
      <c r="H7" s="9">
        <f t="shared" si="0"/>
        <v>933.66666666666663</v>
      </c>
      <c r="I7" s="9">
        <f t="shared" si="0"/>
        <v>1206</v>
      </c>
      <c r="J7" s="9">
        <f t="shared" si="0"/>
        <v>1579.6666666666667</v>
      </c>
      <c r="K7" s="9">
        <f t="shared" si="0"/>
        <v>2155.3333333333335</v>
      </c>
      <c r="L7" s="9">
        <f t="shared" si="0"/>
        <v>3157.6666666666665</v>
      </c>
      <c r="M7" s="9">
        <f t="shared" si="0"/>
        <v>5154</v>
      </c>
      <c r="N7" s="9">
        <f t="shared" si="0"/>
        <v>7572</v>
      </c>
      <c r="O7" s="9">
        <f t="shared" si="0"/>
        <v>10396.666666666666</v>
      </c>
      <c r="P7" s="9">
        <f t="shared" si="0"/>
        <v>14263.333333333334</v>
      </c>
      <c r="Q7" s="9">
        <f t="shared" si="0"/>
        <v>21748</v>
      </c>
      <c r="R7" s="9">
        <f t="shared" si="0"/>
        <v>29768</v>
      </c>
      <c r="S7" s="9">
        <f t="shared" si="0"/>
        <v>35639.333333333336</v>
      </c>
      <c r="T7" s="9">
        <f t="shared" si="0"/>
        <v>44011</v>
      </c>
      <c r="U7" s="9">
        <f t="shared" si="0"/>
        <v>43973.666666666664</v>
      </c>
      <c r="V7" s="9">
        <f t="shared" si="0"/>
        <v>38015</v>
      </c>
      <c r="W7" s="9">
        <f t="shared" si="0"/>
        <v>262097.66666666666</v>
      </c>
    </row>
    <row r="8" spans="1:23" x14ac:dyDescent="0.25">
      <c r="A8" s="5" t="s">
        <v>39</v>
      </c>
      <c r="B8" s="7">
        <v>2016</v>
      </c>
      <c r="C8" s="9"/>
      <c r="D8" s="9">
        <v>1401</v>
      </c>
      <c r="E8" s="9">
        <v>100</v>
      </c>
      <c r="F8" s="9">
        <v>120</v>
      </c>
      <c r="G8" s="9">
        <v>259</v>
      </c>
      <c r="H8" s="9">
        <v>395</v>
      </c>
      <c r="I8" s="9">
        <v>561</v>
      </c>
      <c r="J8" s="9">
        <v>898</v>
      </c>
      <c r="K8" s="9">
        <v>1198</v>
      </c>
      <c r="L8" s="9">
        <v>1968</v>
      </c>
      <c r="M8" s="9">
        <v>3353</v>
      </c>
      <c r="N8" s="9">
        <v>5198</v>
      </c>
      <c r="O8" s="9">
        <v>7198</v>
      </c>
      <c r="P8" s="9">
        <v>9755</v>
      </c>
      <c r="Q8" s="9">
        <v>15821</v>
      </c>
      <c r="R8" s="9">
        <v>20740</v>
      </c>
      <c r="S8" s="9">
        <v>28510</v>
      </c>
      <c r="T8" s="9">
        <v>41133</v>
      </c>
      <c r="U8" s="9">
        <v>53345</v>
      </c>
      <c r="V8" s="9">
        <v>74801</v>
      </c>
      <c r="W8" s="10">
        <v>266754</v>
      </c>
    </row>
    <row r="9" spans="1:23" x14ac:dyDescent="0.25">
      <c r="A9" s="5" t="s">
        <v>39</v>
      </c>
      <c r="B9" s="7">
        <v>2017</v>
      </c>
      <c r="C9" s="9"/>
      <c r="D9" s="9">
        <v>1350</v>
      </c>
      <c r="E9" s="9">
        <v>113</v>
      </c>
      <c r="F9" s="9">
        <v>116</v>
      </c>
      <c r="G9" s="9">
        <v>250</v>
      </c>
      <c r="H9" s="9">
        <v>339</v>
      </c>
      <c r="I9" s="9">
        <v>516</v>
      </c>
      <c r="J9" s="9">
        <v>831</v>
      </c>
      <c r="K9" s="9">
        <v>1281</v>
      </c>
      <c r="L9" s="9">
        <v>1922</v>
      </c>
      <c r="M9" s="9">
        <v>3283</v>
      </c>
      <c r="N9" s="9">
        <v>5194</v>
      </c>
      <c r="O9" s="9">
        <v>6824</v>
      </c>
      <c r="P9" s="9">
        <v>9656</v>
      </c>
      <c r="Q9" s="9">
        <v>14925</v>
      </c>
      <c r="R9" s="9">
        <v>21688</v>
      </c>
      <c r="S9" s="9">
        <v>28755</v>
      </c>
      <c r="T9" s="9">
        <v>41466</v>
      </c>
      <c r="U9" s="9">
        <v>53970</v>
      </c>
      <c r="V9" s="9">
        <v>77623</v>
      </c>
      <c r="W9" s="10">
        <v>270102</v>
      </c>
    </row>
    <row r="10" spans="1:23" x14ac:dyDescent="0.25">
      <c r="A10" s="5" t="s">
        <v>39</v>
      </c>
      <c r="B10" s="7">
        <v>2018</v>
      </c>
      <c r="C10" s="9"/>
      <c r="D10" s="9">
        <v>1287</v>
      </c>
      <c r="E10" s="9">
        <v>130</v>
      </c>
      <c r="F10" s="9">
        <v>116</v>
      </c>
      <c r="G10" s="9">
        <v>269</v>
      </c>
      <c r="H10" s="9">
        <v>376</v>
      </c>
      <c r="I10" s="9">
        <v>576</v>
      </c>
      <c r="J10" s="9">
        <v>862</v>
      </c>
      <c r="K10" s="9">
        <v>1339</v>
      </c>
      <c r="L10" s="9">
        <v>1819</v>
      </c>
      <c r="M10" s="9">
        <v>3430</v>
      </c>
      <c r="N10" s="9">
        <v>5070</v>
      </c>
      <c r="O10" s="9">
        <v>7384</v>
      </c>
      <c r="P10" s="9">
        <v>9895</v>
      </c>
      <c r="Q10" s="9">
        <v>14552</v>
      </c>
      <c r="R10" s="9">
        <v>22805</v>
      </c>
      <c r="S10" s="9">
        <v>29126</v>
      </c>
      <c r="T10" s="9">
        <v>41905</v>
      </c>
      <c r="U10" s="9">
        <v>54285</v>
      </c>
      <c r="V10" s="9">
        <v>77877</v>
      </c>
      <c r="W10" s="10">
        <v>273103</v>
      </c>
    </row>
    <row r="11" spans="1:23" x14ac:dyDescent="0.25">
      <c r="A11" s="5"/>
      <c r="B11" s="7" t="s">
        <v>38</v>
      </c>
      <c r="C11" s="9"/>
      <c r="D11" s="9">
        <v>1346</v>
      </c>
      <c r="E11" s="9">
        <f t="shared" ref="E11" si="1">SUM(E8:E10)/3</f>
        <v>114.33333333333333</v>
      </c>
      <c r="F11" s="9">
        <f t="shared" ref="F11:W11" si="2">SUM(F8:F10)/3</f>
        <v>117.33333333333333</v>
      </c>
      <c r="G11" s="9">
        <f t="shared" si="2"/>
        <v>259.33333333333331</v>
      </c>
      <c r="H11" s="9">
        <f t="shared" si="2"/>
        <v>370</v>
      </c>
      <c r="I11" s="9">
        <f t="shared" si="2"/>
        <v>551</v>
      </c>
      <c r="J11" s="9">
        <f t="shared" si="2"/>
        <v>863.66666666666663</v>
      </c>
      <c r="K11" s="9">
        <f t="shared" si="2"/>
        <v>1272.6666666666667</v>
      </c>
      <c r="L11" s="9">
        <f t="shared" si="2"/>
        <v>1903</v>
      </c>
      <c r="M11" s="9">
        <f t="shared" si="2"/>
        <v>3355.3333333333335</v>
      </c>
      <c r="N11" s="9">
        <f t="shared" si="2"/>
        <v>5154</v>
      </c>
      <c r="O11" s="9">
        <f t="shared" si="2"/>
        <v>7135.333333333333</v>
      </c>
      <c r="P11" s="9">
        <f t="shared" si="2"/>
        <v>9768.6666666666661</v>
      </c>
      <c r="Q11" s="9">
        <f t="shared" si="2"/>
        <v>15099.333333333334</v>
      </c>
      <c r="R11" s="9">
        <f t="shared" si="2"/>
        <v>21744.333333333332</v>
      </c>
      <c r="S11" s="9">
        <f t="shared" si="2"/>
        <v>28797</v>
      </c>
      <c r="T11" s="9">
        <f t="shared" si="2"/>
        <v>41501.333333333336</v>
      </c>
      <c r="U11" s="9">
        <f t="shared" si="2"/>
        <v>53866.666666666664</v>
      </c>
      <c r="V11" s="9">
        <f t="shared" si="2"/>
        <v>76767</v>
      </c>
      <c r="W11" s="9">
        <f t="shared" si="2"/>
        <v>269986.33333333331</v>
      </c>
    </row>
    <row r="13" spans="1:23" x14ac:dyDescent="0.25">
      <c r="A13" s="5" t="s">
        <v>40</v>
      </c>
    </row>
    <row r="14" spans="1:23" x14ac:dyDescent="0.25">
      <c r="B14" s="6"/>
      <c r="C14" s="8"/>
      <c r="D14" s="8" t="s">
        <v>17</v>
      </c>
      <c r="E14" s="8" t="s">
        <v>18</v>
      </c>
      <c r="F14" s="8" t="s">
        <v>19</v>
      </c>
      <c r="G14" s="8" t="s">
        <v>20</v>
      </c>
      <c r="H14" s="8" t="s">
        <v>21</v>
      </c>
      <c r="I14" s="8" t="s">
        <v>22</v>
      </c>
      <c r="J14" s="8" t="s">
        <v>23</v>
      </c>
      <c r="K14" s="8" t="s">
        <v>24</v>
      </c>
      <c r="L14" s="8" t="s">
        <v>25</v>
      </c>
      <c r="M14" s="8" t="s">
        <v>26</v>
      </c>
      <c r="N14" s="8" t="s">
        <v>27</v>
      </c>
      <c r="O14" s="8" t="s">
        <v>28</v>
      </c>
      <c r="P14" s="8" t="s">
        <v>29</v>
      </c>
      <c r="Q14" s="8" t="s">
        <v>30</v>
      </c>
      <c r="R14" s="8" t="s">
        <v>31</v>
      </c>
      <c r="S14" s="8" t="s">
        <v>32</v>
      </c>
      <c r="T14" s="8" t="s">
        <v>33</v>
      </c>
      <c r="U14" s="8" t="s">
        <v>34</v>
      </c>
      <c r="V14" s="8" t="s">
        <v>35</v>
      </c>
      <c r="W14" s="12" t="s">
        <v>36</v>
      </c>
    </row>
    <row r="15" spans="1:23" x14ac:dyDescent="0.25">
      <c r="A15" s="5" t="s">
        <v>37</v>
      </c>
      <c r="B15" s="7">
        <v>2016</v>
      </c>
      <c r="C15" s="9"/>
      <c r="D15" s="9">
        <v>0</v>
      </c>
      <c r="E15" s="9">
        <v>0</v>
      </c>
      <c r="F15" s="9">
        <v>0</v>
      </c>
      <c r="G15" s="9">
        <v>1</v>
      </c>
      <c r="H15" s="9">
        <v>0</v>
      </c>
      <c r="I15" s="9">
        <v>4</v>
      </c>
      <c r="J15" s="9">
        <v>9</v>
      </c>
      <c r="K15" s="9">
        <v>21</v>
      </c>
      <c r="L15" s="9">
        <v>78</v>
      </c>
      <c r="M15" s="9">
        <v>206</v>
      </c>
      <c r="N15" s="9">
        <v>449</v>
      </c>
      <c r="O15" s="9">
        <v>841</v>
      </c>
      <c r="P15" s="9">
        <v>1481</v>
      </c>
      <c r="Q15" s="9">
        <v>2513</v>
      </c>
      <c r="R15" s="9">
        <v>2938</v>
      </c>
      <c r="S15" s="9">
        <v>3041</v>
      </c>
      <c r="T15" s="9">
        <v>2647</v>
      </c>
      <c r="U15" s="9">
        <v>1669</v>
      </c>
      <c r="V15" s="9">
        <v>778</v>
      </c>
      <c r="W15" s="10">
        <v>16676</v>
      </c>
    </row>
    <row r="16" spans="1:23" x14ac:dyDescent="0.25">
      <c r="A16" s="5" t="s">
        <v>37</v>
      </c>
      <c r="B16" s="7">
        <v>2017</v>
      </c>
      <c r="C16" s="9"/>
      <c r="D16" s="9">
        <v>0</v>
      </c>
      <c r="E16" s="9">
        <v>0</v>
      </c>
      <c r="F16" s="9">
        <v>0</v>
      </c>
      <c r="G16" s="9">
        <v>0</v>
      </c>
      <c r="H16" s="9">
        <v>1</v>
      </c>
      <c r="I16" s="9">
        <v>4</v>
      </c>
      <c r="J16" s="9">
        <v>3</v>
      </c>
      <c r="K16" s="9">
        <v>24</v>
      </c>
      <c r="L16" s="9">
        <v>61</v>
      </c>
      <c r="M16" s="9">
        <v>185</v>
      </c>
      <c r="N16" s="9">
        <v>442</v>
      </c>
      <c r="O16" s="9">
        <v>807</v>
      </c>
      <c r="P16" s="9">
        <v>1491</v>
      </c>
      <c r="Q16" s="9">
        <v>2328</v>
      </c>
      <c r="R16" s="9">
        <v>3006</v>
      </c>
      <c r="S16" s="9">
        <v>2974</v>
      </c>
      <c r="T16" s="9">
        <v>2495</v>
      </c>
      <c r="U16" s="9">
        <v>1608</v>
      </c>
      <c r="V16" s="9">
        <v>801</v>
      </c>
      <c r="W16" s="10">
        <v>16230</v>
      </c>
    </row>
    <row r="17" spans="1:25" x14ac:dyDescent="0.25">
      <c r="A17" s="5" t="s">
        <v>37</v>
      </c>
      <c r="B17" s="7">
        <v>2018</v>
      </c>
      <c r="C17" s="9"/>
      <c r="D17" s="9">
        <v>1</v>
      </c>
      <c r="E17" s="9">
        <v>0</v>
      </c>
      <c r="F17" s="9">
        <v>0</v>
      </c>
      <c r="G17" s="9">
        <v>0</v>
      </c>
      <c r="H17" s="9">
        <v>2</v>
      </c>
      <c r="I17" s="9">
        <v>1</v>
      </c>
      <c r="J17" s="9">
        <v>9</v>
      </c>
      <c r="K17" s="9">
        <v>27</v>
      </c>
      <c r="L17" s="9">
        <v>59</v>
      </c>
      <c r="M17" s="9">
        <v>202</v>
      </c>
      <c r="N17" s="9">
        <v>445</v>
      </c>
      <c r="O17" s="9">
        <v>801</v>
      </c>
      <c r="P17" s="9">
        <v>1295</v>
      </c>
      <c r="Q17" s="9">
        <v>2255</v>
      </c>
      <c r="R17" s="9">
        <v>3023</v>
      </c>
      <c r="S17" s="9">
        <v>3012</v>
      </c>
      <c r="T17" s="9">
        <v>2490</v>
      </c>
      <c r="U17" s="9">
        <v>1620</v>
      </c>
      <c r="V17" s="9">
        <v>804</v>
      </c>
      <c r="W17" s="10">
        <v>16046</v>
      </c>
    </row>
    <row r="18" spans="1:25" x14ac:dyDescent="0.25">
      <c r="A18" s="5"/>
      <c r="B18" s="7" t="s">
        <v>38</v>
      </c>
      <c r="C18" s="9"/>
      <c r="D18" s="9">
        <v>0.33333333333333331</v>
      </c>
      <c r="E18" s="9">
        <f t="shared" ref="E18:W18" si="3">SUM(E15:E17)/3</f>
        <v>0</v>
      </c>
      <c r="F18" s="9">
        <f t="shared" si="3"/>
        <v>0</v>
      </c>
      <c r="G18" s="9">
        <f t="shared" si="3"/>
        <v>0.33333333333333331</v>
      </c>
      <c r="H18" s="9">
        <f t="shared" si="3"/>
        <v>1</v>
      </c>
      <c r="I18" s="9">
        <f t="shared" si="3"/>
        <v>3</v>
      </c>
      <c r="J18" s="9">
        <f t="shared" si="3"/>
        <v>7</v>
      </c>
      <c r="K18" s="9">
        <f t="shared" si="3"/>
        <v>24</v>
      </c>
      <c r="L18" s="9">
        <f t="shared" si="3"/>
        <v>66</v>
      </c>
      <c r="M18" s="9">
        <f t="shared" si="3"/>
        <v>197.66666666666666</v>
      </c>
      <c r="N18" s="9">
        <f t="shared" si="3"/>
        <v>445.33333333333331</v>
      </c>
      <c r="O18" s="9">
        <f t="shared" si="3"/>
        <v>816.33333333333337</v>
      </c>
      <c r="P18" s="9">
        <f t="shared" si="3"/>
        <v>1422.3333333333333</v>
      </c>
      <c r="Q18" s="9">
        <f t="shared" si="3"/>
        <v>2365.3333333333335</v>
      </c>
      <c r="R18" s="9">
        <f t="shared" si="3"/>
        <v>2989</v>
      </c>
      <c r="S18" s="9">
        <f t="shared" si="3"/>
        <v>3009</v>
      </c>
      <c r="T18" s="9">
        <f t="shared" si="3"/>
        <v>2544</v>
      </c>
      <c r="U18" s="9">
        <f t="shared" si="3"/>
        <v>1632.3333333333333</v>
      </c>
      <c r="V18" s="9">
        <f t="shared" si="3"/>
        <v>794.33333333333337</v>
      </c>
      <c r="W18" s="9">
        <f t="shared" si="3"/>
        <v>16317.333333333334</v>
      </c>
    </row>
    <row r="19" spans="1:25" x14ac:dyDescent="0.25">
      <c r="A19" s="5" t="s">
        <v>39</v>
      </c>
      <c r="B19" s="7">
        <v>2016</v>
      </c>
      <c r="C19" s="9"/>
      <c r="D19" s="9">
        <v>0</v>
      </c>
      <c r="E19" s="9">
        <v>0</v>
      </c>
      <c r="F19" s="9">
        <v>0</v>
      </c>
      <c r="G19" s="9">
        <v>2</v>
      </c>
      <c r="H19" s="9">
        <v>2</v>
      </c>
      <c r="I19" s="9">
        <v>3</v>
      </c>
      <c r="J19" s="9">
        <v>11</v>
      </c>
      <c r="K19" s="9">
        <v>17</v>
      </c>
      <c r="L19" s="9">
        <v>57</v>
      </c>
      <c r="M19" s="9">
        <v>172</v>
      </c>
      <c r="N19" s="9">
        <v>394</v>
      </c>
      <c r="O19" s="9">
        <v>768</v>
      </c>
      <c r="P19" s="9">
        <v>1169</v>
      </c>
      <c r="Q19" s="9">
        <v>2037</v>
      </c>
      <c r="R19" s="9">
        <v>2423</v>
      </c>
      <c r="S19" s="9">
        <v>2358</v>
      </c>
      <c r="T19" s="9">
        <v>2039</v>
      </c>
      <c r="U19" s="9">
        <v>1537</v>
      </c>
      <c r="V19" s="9">
        <v>858</v>
      </c>
      <c r="W19" s="10">
        <v>13847</v>
      </c>
    </row>
    <row r="20" spans="1:25" x14ac:dyDescent="0.25">
      <c r="A20" s="5" t="s">
        <v>39</v>
      </c>
      <c r="B20" s="7">
        <v>2017</v>
      </c>
      <c r="C20" s="9"/>
      <c r="D20" s="9">
        <v>0</v>
      </c>
      <c r="E20" s="9">
        <v>0</v>
      </c>
      <c r="F20" s="9">
        <v>0</v>
      </c>
      <c r="G20" s="9">
        <v>0</v>
      </c>
      <c r="H20" s="9">
        <v>1</v>
      </c>
      <c r="I20" s="9">
        <v>5</v>
      </c>
      <c r="J20" s="9">
        <v>8</v>
      </c>
      <c r="K20" s="9">
        <v>26</v>
      </c>
      <c r="L20" s="9">
        <v>50</v>
      </c>
      <c r="M20" s="9">
        <v>162</v>
      </c>
      <c r="N20" s="9">
        <v>352</v>
      </c>
      <c r="O20" s="9">
        <v>695</v>
      </c>
      <c r="P20" s="9">
        <v>1171</v>
      </c>
      <c r="Q20" s="9">
        <v>1875</v>
      </c>
      <c r="R20" s="9">
        <v>2548</v>
      </c>
      <c r="S20" s="9">
        <v>2329</v>
      </c>
      <c r="T20" s="9">
        <v>2079</v>
      </c>
      <c r="U20" s="9">
        <v>1600</v>
      </c>
      <c r="V20" s="9">
        <v>948</v>
      </c>
      <c r="W20" s="10">
        <v>13849</v>
      </c>
    </row>
    <row r="21" spans="1:25" x14ac:dyDescent="0.25">
      <c r="A21" s="5" t="s">
        <v>39</v>
      </c>
      <c r="B21" s="7">
        <v>2018</v>
      </c>
      <c r="C21" s="9"/>
      <c r="D21" s="9">
        <v>1</v>
      </c>
      <c r="E21" s="9">
        <v>0</v>
      </c>
      <c r="F21" s="9">
        <v>0</v>
      </c>
      <c r="G21" s="9">
        <v>0</v>
      </c>
      <c r="H21" s="9">
        <v>0</v>
      </c>
      <c r="I21" s="9">
        <v>1</v>
      </c>
      <c r="J21" s="9">
        <v>8</v>
      </c>
      <c r="K21" s="9">
        <v>14</v>
      </c>
      <c r="L21" s="9">
        <v>48</v>
      </c>
      <c r="M21" s="9">
        <v>185</v>
      </c>
      <c r="N21" s="9">
        <v>332</v>
      </c>
      <c r="O21" s="9">
        <v>720</v>
      </c>
      <c r="P21" s="9">
        <v>1145</v>
      </c>
      <c r="Q21" s="9">
        <v>1765</v>
      </c>
      <c r="R21" s="9">
        <v>2557</v>
      </c>
      <c r="S21" s="9">
        <v>2395</v>
      </c>
      <c r="T21" s="9">
        <v>1999</v>
      </c>
      <c r="U21" s="9">
        <v>1445</v>
      </c>
      <c r="V21" s="9">
        <v>921</v>
      </c>
      <c r="W21" s="10">
        <v>13536</v>
      </c>
    </row>
    <row r="22" spans="1:25" x14ac:dyDescent="0.25">
      <c r="A22" s="5"/>
      <c r="B22" s="7" t="s">
        <v>38</v>
      </c>
      <c r="C22" s="9"/>
      <c r="D22" s="9">
        <v>0.33333333333333331</v>
      </c>
      <c r="E22" s="9">
        <f t="shared" ref="E22:W22" si="4">SUM(E19:E21)/3</f>
        <v>0</v>
      </c>
      <c r="F22" s="9">
        <f t="shared" si="4"/>
        <v>0</v>
      </c>
      <c r="G22" s="9">
        <f t="shared" si="4"/>
        <v>0.66666666666666663</v>
      </c>
      <c r="H22" s="9">
        <f t="shared" si="4"/>
        <v>1</v>
      </c>
      <c r="I22" s="9">
        <f t="shared" si="4"/>
        <v>3</v>
      </c>
      <c r="J22" s="9">
        <f t="shared" si="4"/>
        <v>9</v>
      </c>
      <c r="K22" s="9">
        <f t="shared" si="4"/>
        <v>19</v>
      </c>
      <c r="L22" s="9">
        <f t="shared" si="4"/>
        <v>51.666666666666664</v>
      </c>
      <c r="M22" s="9">
        <f t="shared" si="4"/>
        <v>173</v>
      </c>
      <c r="N22" s="9">
        <f t="shared" si="4"/>
        <v>359.33333333333331</v>
      </c>
      <c r="O22" s="9">
        <f t="shared" si="4"/>
        <v>727.66666666666663</v>
      </c>
      <c r="P22" s="9">
        <f t="shared" si="4"/>
        <v>1161.6666666666667</v>
      </c>
      <c r="Q22" s="9">
        <f t="shared" si="4"/>
        <v>1892.3333333333333</v>
      </c>
      <c r="R22" s="9">
        <f t="shared" si="4"/>
        <v>2509.3333333333335</v>
      </c>
      <c r="S22" s="9">
        <f t="shared" si="4"/>
        <v>2360.6666666666665</v>
      </c>
      <c r="T22" s="9">
        <f t="shared" si="4"/>
        <v>2039</v>
      </c>
      <c r="U22" s="9">
        <f t="shared" si="4"/>
        <v>1527.3333333333333</v>
      </c>
      <c r="V22" s="9">
        <f t="shared" si="4"/>
        <v>909</v>
      </c>
      <c r="W22" s="9">
        <f t="shared" si="4"/>
        <v>13744</v>
      </c>
    </row>
    <row r="24" spans="1:25" x14ac:dyDescent="0.25">
      <c r="A24" s="5" t="s">
        <v>41</v>
      </c>
    </row>
    <row r="25" spans="1:25" x14ac:dyDescent="0.25">
      <c r="A25" s="6"/>
      <c r="D25" s="8" t="s">
        <v>42</v>
      </c>
      <c r="E25" s="8" t="s">
        <v>43</v>
      </c>
      <c r="F25" s="8" t="s">
        <v>19</v>
      </c>
      <c r="G25" s="8" t="s">
        <v>20</v>
      </c>
      <c r="H25" s="8" t="s">
        <v>21</v>
      </c>
      <c r="I25" s="8" t="s">
        <v>22</v>
      </c>
      <c r="J25" s="8" t="s">
        <v>23</v>
      </c>
      <c r="K25" s="8" t="s">
        <v>24</v>
      </c>
      <c r="L25" s="8" t="s">
        <v>25</v>
      </c>
      <c r="M25" s="8" t="s">
        <v>26</v>
      </c>
      <c r="N25" s="8" t="s">
        <v>27</v>
      </c>
      <c r="O25" s="8" t="s">
        <v>28</v>
      </c>
      <c r="P25" s="8" t="s">
        <v>29</v>
      </c>
      <c r="Q25" s="8" t="s">
        <v>30</v>
      </c>
      <c r="R25" s="8" t="s">
        <v>31</v>
      </c>
      <c r="S25" s="8" t="s">
        <v>32</v>
      </c>
      <c r="T25" s="8" t="s">
        <v>33</v>
      </c>
      <c r="U25" s="8" t="s">
        <v>34</v>
      </c>
      <c r="V25" s="8" t="s">
        <v>44</v>
      </c>
      <c r="W25" s="12" t="s">
        <v>45</v>
      </c>
      <c r="Y25" s="8" t="s">
        <v>46</v>
      </c>
    </row>
    <row r="26" spans="1:25" x14ac:dyDescent="0.25">
      <c r="A26" s="5" t="s">
        <v>37</v>
      </c>
      <c r="B26" s="7">
        <v>2016</v>
      </c>
      <c r="C26" s="7"/>
      <c r="D26" s="9">
        <v>1846328</v>
      </c>
      <c r="E26" s="9">
        <v>1849352</v>
      </c>
      <c r="F26" s="9">
        <v>1658079</v>
      </c>
      <c r="G26" s="9">
        <v>1725998</v>
      </c>
      <c r="H26" s="9">
        <v>1933772</v>
      </c>
      <c r="I26" s="9">
        <v>2026894</v>
      </c>
      <c r="J26" s="9">
        <v>1966231</v>
      </c>
      <c r="K26" s="9">
        <v>1860942</v>
      </c>
      <c r="L26" s="9">
        <v>1845297</v>
      </c>
      <c r="M26" s="9">
        <v>2023833</v>
      </c>
      <c r="N26" s="9">
        <v>2019914</v>
      </c>
      <c r="O26" s="9">
        <v>1769456</v>
      </c>
      <c r="P26" s="9">
        <v>1526604</v>
      </c>
      <c r="Q26" s="9">
        <v>1567144</v>
      </c>
      <c r="R26" s="9">
        <v>1212195</v>
      </c>
      <c r="S26" s="9">
        <v>881782</v>
      </c>
      <c r="T26" s="9">
        <v>621345</v>
      </c>
      <c r="U26" s="11">
        <v>343665</v>
      </c>
      <c r="V26" s="9">
        <v>156127</v>
      </c>
      <c r="W26" s="13">
        <v>28834958</v>
      </c>
      <c r="X26" s="11"/>
      <c r="Y26" s="9">
        <v>499792</v>
      </c>
    </row>
    <row r="27" spans="1:25" x14ac:dyDescent="0.25">
      <c r="A27" s="5" t="s">
        <v>37</v>
      </c>
      <c r="B27" s="7">
        <v>2017</v>
      </c>
      <c r="C27" s="7"/>
      <c r="D27" s="9">
        <v>1822845</v>
      </c>
      <c r="E27" s="9">
        <v>1885101</v>
      </c>
      <c r="F27" s="9">
        <v>1710086</v>
      </c>
      <c r="G27" s="9">
        <v>1693673</v>
      </c>
      <c r="H27" s="9">
        <v>1919184</v>
      </c>
      <c r="I27" s="9">
        <v>2042432</v>
      </c>
      <c r="J27" s="9">
        <v>1967378</v>
      </c>
      <c r="K27" s="9">
        <v>1901108</v>
      </c>
      <c r="L27" s="9">
        <v>1796882</v>
      </c>
      <c r="M27" s="9">
        <v>2006473</v>
      </c>
      <c r="N27" s="9">
        <v>2036252</v>
      </c>
      <c r="O27" s="9">
        <v>1820859</v>
      </c>
      <c r="P27" s="9">
        <v>1553963</v>
      </c>
      <c r="Q27" s="9">
        <v>1491385</v>
      </c>
      <c r="R27" s="9">
        <v>1327913</v>
      </c>
      <c r="S27" s="9">
        <v>892233</v>
      </c>
      <c r="T27" s="9">
        <v>636588</v>
      </c>
      <c r="U27" s="11">
        <v>354575</v>
      </c>
      <c r="V27" s="9">
        <v>162323</v>
      </c>
      <c r="W27" s="13">
        <v>29021253</v>
      </c>
      <c r="X27" s="11"/>
      <c r="Y27" s="9">
        <v>516898</v>
      </c>
    </row>
    <row r="28" spans="1:25" x14ac:dyDescent="0.25">
      <c r="A28" s="5" t="s">
        <v>37</v>
      </c>
      <c r="B28" s="7">
        <v>2018</v>
      </c>
      <c r="C28" s="7"/>
      <c r="D28" s="9">
        <v>1802527</v>
      </c>
      <c r="E28" s="9">
        <v>1898484</v>
      </c>
      <c r="F28" s="9">
        <v>1768144</v>
      </c>
      <c r="G28" s="9">
        <v>1680191</v>
      </c>
      <c r="H28" s="9">
        <v>1913637</v>
      </c>
      <c r="I28" s="9">
        <v>2040911</v>
      </c>
      <c r="J28" s="9">
        <v>1983871</v>
      </c>
      <c r="K28" s="9">
        <v>1936734</v>
      </c>
      <c r="L28" s="9">
        <v>1769761</v>
      </c>
      <c r="M28" s="9">
        <v>1980181</v>
      </c>
      <c r="N28" s="9">
        <v>2039373</v>
      </c>
      <c r="O28" s="9">
        <v>1866897</v>
      </c>
      <c r="P28" s="9">
        <v>1585580</v>
      </c>
      <c r="Q28" s="9">
        <v>1455983</v>
      </c>
      <c r="R28" s="9">
        <v>1389405</v>
      </c>
      <c r="S28" s="9">
        <v>918891</v>
      </c>
      <c r="T28" s="9">
        <v>655504</v>
      </c>
      <c r="U28" s="11">
        <v>362168</v>
      </c>
      <c r="V28" s="9">
        <v>167009</v>
      </c>
      <c r="W28" s="13">
        <v>29215251</v>
      </c>
      <c r="X28" s="11"/>
      <c r="Y28" s="9">
        <v>529177</v>
      </c>
    </row>
    <row r="29" spans="1:25" x14ac:dyDescent="0.25">
      <c r="A29" s="5"/>
      <c r="B29" s="7" t="s">
        <v>38</v>
      </c>
      <c r="C29" s="7"/>
      <c r="D29" s="9">
        <f t="shared" ref="D29:W29" si="5">SUM(D26:D28)/3</f>
        <v>1823900</v>
      </c>
      <c r="E29" s="9">
        <f t="shared" si="5"/>
        <v>1877645.6666666667</v>
      </c>
      <c r="F29" s="9">
        <f t="shared" si="5"/>
        <v>1712103</v>
      </c>
      <c r="G29" s="9">
        <f t="shared" si="5"/>
        <v>1699954</v>
      </c>
      <c r="H29" s="9">
        <f t="shared" si="5"/>
        <v>1922197.6666666667</v>
      </c>
      <c r="I29" s="9">
        <f t="shared" si="5"/>
        <v>2036745.6666666667</v>
      </c>
      <c r="J29" s="9">
        <f t="shared" si="5"/>
        <v>1972493.3333333333</v>
      </c>
      <c r="K29" s="9">
        <f t="shared" si="5"/>
        <v>1899594.6666666667</v>
      </c>
      <c r="L29" s="9">
        <f t="shared" si="5"/>
        <v>1803980</v>
      </c>
      <c r="M29" s="9">
        <f t="shared" si="5"/>
        <v>2003495.6666666667</v>
      </c>
      <c r="N29" s="9">
        <f t="shared" si="5"/>
        <v>2031846.3333333333</v>
      </c>
      <c r="O29" s="9">
        <f t="shared" si="5"/>
        <v>1819070.6666666667</v>
      </c>
      <c r="P29" s="9">
        <f t="shared" si="5"/>
        <v>1555382.3333333333</v>
      </c>
      <c r="Q29" s="9">
        <f t="shared" si="5"/>
        <v>1504837.3333333333</v>
      </c>
      <c r="R29" s="9">
        <f t="shared" si="5"/>
        <v>1309837.6666666667</v>
      </c>
      <c r="S29" s="9">
        <f t="shared" si="5"/>
        <v>897635.33333333337</v>
      </c>
      <c r="T29" s="9">
        <f t="shared" si="5"/>
        <v>637812.33333333337</v>
      </c>
      <c r="U29" s="9">
        <f t="shared" si="5"/>
        <v>353469.33333333331</v>
      </c>
      <c r="V29" s="9">
        <f t="shared" si="5"/>
        <v>161819.66666666666</v>
      </c>
      <c r="W29" s="9">
        <f t="shared" si="5"/>
        <v>29023820.666666668</v>
      </c>
      <c r="X29" s="11"/>
      <c r="Y29" s="9"/>
    </row>
    <row r="30" spans="1:25" x14ac:dyDescent="0.25">
      <c r="A30" s="5" t="s">
        <v>39</v>
      </c>
      <c r="B30" s="7">
        <v>2016</v>
      </c>
      <c r="C30" s="7"/>
      <c r="D30" s="9">
        <v>1755979</v>
      </c>
      <c r="E30" s="9">
        <v>1761717</v>
      </c>
      <c r="F30" s="9">
        <v>1579294</v>
      </c>
      <c r="G30" s="9">
        <v>1635896</v>
      </c>
      <c r="H30" s="9">
        <v>1837268</v>
      </c>
      <c r="I30" s="9">
        <v>1985584</v>
      </c>
      <c r="J30" s="9">
        <v>1966190</v>
      </c>
      <c r="K30" s="9">
        <v>1871281</v>
      </c>
      <c r="L30" s="9">
        <v>1870975</v>
      </c>
      <c r="M30" s="9">
        <v>2072516</v>
      </c>
      <c r="N30" s="9">
        <v>2074534</v>
      </c>
      <c r="O30" s="9">
        <v>1810648</v>
      </c>
      <c r="P30" s="9">
        <v>1589157</v>
      </c>
      <c r="Q30" s="9">
        <v>1662356</v>
      </c>
      <c r="R30" s="9">
        <v>1324285</v>
      </c>
      <c r="S30" s="9">
        <v>1030404</v>
      </c>
      <c r="T30" s="9">
        <v>809240</v>
      </c>
      <c r="U30" s="11">
        <v>547615</v>
      </c>
      <c r="V30" s="9">
        <v>361320</v>
      </c>
      <c r="W30" s="13">
        <v>29546259</v>
      </c>
      <c r="X30" s="11"/>
      <c r="Y30" s="9">
        <v>908935</v>
      </c>
    </row>
    <row r="31" spans="1:25" x14ac:dyDescent="0.25">
      <c r="A31" s="5" t="s">
        <v>39</v>
      </c>
      <c r="B31" s="7">
        <v>2017</v>
      </c>
      <c r="C31" s="7"/>
      <c r="D31" s="9">
        <v>1732789</v>
      </c>
      <c r="E31" s="9">
        <v>1797097</v>
      </c>
      <c r="F31" s="9">
        <v>1627081</v>
      </c>
      <c r="G31" s="9">
        <v>1604904</v>
      </c>
      <c r="H31" s="9">
        <v>1814783</v>
      </c>
      <c r="I31" s="9">
        <v>1993681</v>
      </c>
      <c r="J31" s="9">
        <v>1975104</v>
      </c>
      <c r="K31" s="9">
        <v>1920620</v>
      </c>
      <c r="L31" s="9">
        <v>1819794</v>
      </c>
      <c r="M31" s="9">
        <v>2054066</v>
      </c>
      <c r="N31" s="9">
        <v>2092993</v>
      </c>
      <c r="O31" s="9">
        <v>1865755</v>
      </c>
      <c r="P31" s="9">
        <v>1615912</v>
      </c>
      <c r="Q31" s="9">
        <v>1588163</v>
      </c>
      <c r="R31" s="9">
        <v>1444342</v>
      </c>
      <c r="S31" s="9">
        <v>1039644</v>
      </c>
      <c r="T31" s="9">
        <v>819879</v>
      </c>
      <c r="U31" s="11">
        <v>554050</v>
      </c>
      <c r="V31" s="9">
        <v>362685</v>
      </c>
      <c r="W31" s="13">
        <v>29723342</v>
      </c>
      <c r="X31" s="11"/>
      <c r="Y31" s="9">
        <v>916735</v>
      </c>
    </row>
    <row r="32" spans="1:25" x14ac:dyDescent="0.25">
      <c r="A32" s="5" t="s">
        <v>39</v>
      </c>
      <c r="B32" s="7">
        <v>2018</v>
      </c>
      <c r="C32" s="7"/>
      <c r="D32" s="9">
        <v>1712903</v>
      </c>
      <c r="E32" s="9">
        <v>1809836</v>
      </c>
      <c r="F32" s="9">
        <v>1682638</v>
      </c>
      <c r="G32" s="9">
        <v>1590604</v>
      </c>
      <c r="H32" s="9">
        <v>1804323</v>
      </c>
      <c r="I32" s="9">
        <v>1981361</v>
      </c>
      <c r="J32" s="9">
        <v>1992159</v>
      </c>
      <c r="K32" s="9">
        <v>1964167</v>
      </c>
      <c r="L32" s="9">
        <v>1790194</v>
      </c>
      <c r="M32" s="9">
        <v>2025216</v>
      </c>
      <c r="N32" s="9">
        <v>2097758</v>
      </c>
      <c r="O32" s="9">
        <v>1918667</v>
      </c>
      <c r="P32" s="9">
        <v>1648446</v>
      </c>
      <c r="Q32" s="9">
        <v>1550793</v>
      </c>
      <c r="R32" s="9">
        <v>1510747</v>
      </c>
      <c r="S32" s="9">
        <v>1066234</v>
      </c>
      <c r="T32" s="9">
        <v>836293</v>
      </c>
      <c r="U32" s="11">
        <v>556269</v>
      </c>
      <c r="V32" s="9">
        <v>361950</v>
      </c>
      <c r="W32" s="13">
        <v>29900558</v>
      </c>
      <c r="X32" s="11"/>
      <c r="Y32" s="9">
        <v>918219</v>
      </c>
    </row>
    <row r="33" spans="1:23" x14ac:dyDescent="0.25">
      <c r="B33" s="7" t="s">
        <v>38</v>
      </c>
      <c r="C33" s="7"/>
      <c r="D33" s="9">
        <f t="shared" ref="D33:W33" si="6">SUM(D30:D32)/3</f>
        <v>1733890.3333333333</v>
      </c>
      <c r="E33" s="9">
        <f t="shared" si="6"/>
        <v>1789550</v>
      </c>
      <c r="F33" s="9">
        <f t="shared" si="6"/>
        <v>1629671</v>
      </c>
      <c r="G33" s="9">
        <f t="shared" si="6"/>
        <v>1610468</v>
      </c>
      <c r="H33" s="9">
        <f t="shared" si="6"/>
        <v>1818791.3333333333</v>
      </c>
      <c r="I33" s="9">
        <f t="shared" si="6"/>
        <v>1986875.3333333333</v>
      </c>
      <c r="J33" s="9">
        <f t="shared" si="6"/>
        <v>1977817.6666666667</v>
      </c>
      <c r="K33" s="9">
        <f t="shared" si="6"/>
        <v>1918689.3333333333</v>
      </c>
      <c r="L33" s="9">
        <f t="shared" si="6"/>
        <v>1826987.6666666667</v>
      </c>
      <c r="M33" s="9">
        <f t="shared" si="6"/>
        <v>2050599.3333333333</v>
      </c>
      <c r="N33" s="9">
        <f t="shared" si="6"/>
        <v>2088428.3333333333</v>
      </c>
      <c r="O33" s="9">
        <f t="shared" si="6"/>
        <v>1865023.3333333333</v>
      </c>
      <c r="P33" s="9">
        <f t="shared" si="6"/>
        <v>1617838.3333333333</v>
      </c>
      <c r="Q33" s="9">
        <f t="shared" si="6"/>
        <v>1600437.3333333333</v>
      </c>
      <c r="R33" s="9">
        <f t="shared" si="6"/>
        <v>1426458</v>
      </c>
      <c r="S33" s="9">
        <f t="shared" si="6"/>
        <v>1045427.3333333334</v>
      </c>
      <c r="T33" s="9">
        <f t="shared" si="6"/>
        <v>821804</v>
      </c>
      <c r="U33" s="9">
        <f t="shared" si="6"/>
        <v>552644.66666666663</v>
      </c>
      <c r="V33" s="9">
        <f t="shared" si="6"/>
        <v>361985</v>
      </c>
      <c r="W33" s="9">
        <f t="shared" si="6"/>
        <v>29723386.333333332</v>
      </c>
    </row>
    <row r="35" spans="1:23" x14ac:dyDescent="0.25">
      <c r="A35" s="5" t="s">
        <v>47</v>
      </c>
    </row>
    <row r="36" spans="1:23" x14ac:dyDescent="0.25">
      <c r="A36" s="5" t="s">
        <v>37</v>
      </c>
      <c r="D36" s="2">
        <f t="shared" ref="D36:W36" si="7">D18/D7</f>
        <v>1.966568338249754E-4</v>
      </c>
      <c r="E36" s="2">
        <f t="shared" si="7"/>
        <v>0</v>
      </c>
      <c r="F36" s="2">
        <f t="shared" si="7"/>
        <v>0</v>
      </c>
      <c r="G36" s="2">
        <f t="shared" si="7"/>
        <v>6.43915003219575E-4</v>
      </c>
      <c r="H36" s="2">
        <f t="shared" si="7"/>
        <v>1.0710460549803642E-3</v>
      </c>
      <c r="I36" s="2">
        <f t="shared" si="7"/>
        <v>2.4875621890547263E-3</v>
      </c>
      <c r="J36" s="2">
        <f>J18/J7</f>
        <v>4.4313146233382564E-3</v>
      </c>
      <c r="K36" s="2">
        <f t="shared" si="7"/>
        <v>1.1135168574079802E-2</v>
      </c>
      <c r="L36" s="2">
        <f t="shared" si="7"/>
        <v>2.0901509553467753E-2</v>
      </c>
      <c r="M36" s="2">
        <f t="shared" si="7"/>
        <v>3.8352088992368388E-2</v>
      </c>
      <c r="N36" s="2">
        <f t="shared" si="7"/>
        <v>5.8813171332981154E-2</v>
      </c>
      <c r="O36" s="2">
        <f t="shared" si="7"/>
        <v>7.8518756011542165E-2</v>
      </c>
      <c r="P36" s="2">
        <f t="shared" si="7"/>
        <v>9.9719560645010502E-2</v>
      </c>
      <c r="Q36" s="2">
        <f t="shared" si="7"/>
        <v>0.10876095886211759</v>
      </c>
      <c r="R36" s="2">
        <f t="shared" si="7"/>
        <v>0.10040983606557377</v>
      </c>
      <c r="S36" s="2">
        <f t="shared" si="7"/>
        <v>8.4429188724068904E-2</v>
      </c>
      <c r="T36" s="2">
        <f t="shared" si="7"/>
        <v>5.7803730885460453E-2</v>
      </c>
      <c r="U36" s="2">
        <f t="shared" si="7"/>
        <v>3.7120701025613816E-2</v>
      </c>
      <c r="V36" s="2">
        <f t="shared" si="7"/>
        <v>2.0895260642728748E-2</v>
      </c>
      <c r="W36" s="2">
        <f t="shared" si="7"/>
        <v>6.2256690572089546E-2</v>
      </c>
    </row>
    <row r="37" spans="1:23" x14ac:dyDescent="0.25">
      <c r="A37" s="5" t="s">
        <v>39</v>
      </c>
      <c r="D37" s="2">
        <f t="shared" ref="D37:W37" si="8">D22/D11</f>
        <v>2.4764735017335313E-4</v>
      </c>
      <c r="E37" s="2">
        <f t="shared" si="8"/>
        <v>0</v>
      </c>
      <c r="F37" s="2">
        <f t="shared" si="8"/>
        <v>0</v>
      </c>
      <c r="G37" s="2">
        <f t="shared" si="8"/>
        <v>2.5706940874035992E-3</v>
      </c>
      <c r="H37" s="2">
        <f t="shared" si="8"/>
        <v>2.7027027027027029E-3</v>
      </c>
      <c r="I37" s="2">
        <f t="shared" si="8"/>
        <v>5.4446460980036296E-3</v>
      </c>
      <c r="J37" s="2">
        <f t="shared" si="8"/>
        <v>1.0420686993438828E-2</v>
      </c>
      <c r="K37" s="2">
        <f t="shared" si="8"/>
        <v>1.4929282346778417E-2</v>
      </c>
      <c r="L37" s="2">
        <f t="shared" si="8"/>
        <v>2.7150113855316165E-2</v>
      </c>
      <c r="M37" s="2">
        <f t="shared" si="8"/>
        <v>5.1559705940790776E-2</v>
      </c>
      <c r="N37" s="2">
        <f t="shared" si="8"/>
        <v>6.9719311861337466E-2</v>
      </c>
      <c r="O37" s="2">
        <f t="shared" si="8"/>
        <v>0.10198075305988975</v>
      </c>
      <c r="P37" s="2">
        <f t="shared" si="8"/>
        <v>0.11891762778953117</v>
      </c>
      <c r="Q37" s="2">
        <f t="shared" si="8"/>
        <v>0.12532562144024018</v>
      </c>
      <c r="R37" s="2">
        <f t="shared" si="8"/>
        <v>0.11540171385648369</v>
      </c>
      <c r="S37" s="2">
        <f t="shared" si="8"/>
        <v>8.19761317729856E-2</v>
      </c>
      <c r="T37" s="2">
        <f t="shared" si="8"/>
        <v>4.9130951616012337E-2</v>
      </c>
      <c r="U37" s="2">
        <f t="shared" si="8"/>
        <v>2.8353960396039605E-2</v>
      </c>
      <c r="V37" s="2">
        <f t="shared" si="8"/>
        <v>1.1841025440619017E-2</v>
      </c>
      <c r="W37" s="2">
        <f t="shared" si="8"/>
        <v>5.0906280441355679E-2</v>
      </c>
    </row>
    <row r="38" spans="1:23" x14ac:dyDescent="0.25">
      <c r="A38" s="5" t="s">
        <v>48</v>
      </c>
      <c r="D38" s="2">
        <f>(SUM(D15:D17)+SUM(D19:D21))/(SUM(D4:D6)+SUM(D8:D10))</f>
        <v>2.1922613175490518E-4</v>
      </c>
      <c r="E38" s="2">
        <f t="shared" ref="E38:W38" si="9">(SUM(E15:E17)+SUM(E19:E21))/(SUM(E4:E6)+SUM(E8:E10))</f>
        <v>0</v>
      </c>
      <c r="F38" s="2">
        <f t="shared" si="9"/>
        <v>0</v>
      </c>
      <c r="G38" s="2">
        <f t="shared" si="9"/>
        <v>1.287001287001287E-3</v>
      </c>
      <c r="H38" s="2">
        <f t="shared" si="9"/>
        <v>1.534134492457172E-3</v>
      </c>
      <c r="I38" s="2">
        <f t="shared" si="9"/>
        <v>3.4149117814456461E-3</v>
      </c>
      <c r="J38" s="2">
        <f>(SUM(J15:J17)+SUM(J19:J21))/(SUM(J4:J6)+SUM(J8:J10))</f>
        <v>6.5484311050477487E-3</v>
      </c>
      <c r="K38" s="2">
        <f t="shared" si="9"/>
        <v>1.2543757292882146E-2</v>
      </c>
      <c r="L38" s="2">
        <f t="shared" si="9"/>
        <v>2.3251218548280859E-2</v>
      </c>
      <c r="M38" s="2">
        <f t="shared" si="9"/>
        <v>4.3560012535255405E-2</v>
      </c>
      <c r="N38" s="2">
        <f t="shared" si="9"/>
        <v>6.3230132537063236E-2</v>
      </c>
      <c r="O38" s="2">
        <f t="shared" si="9"/>
        <v>8.8067533652749261E-2</v>
      </c>
      <c r="P38" s="2">
        <f t="shared" si="9"/>
        <v>0.10752330226364847</v>
      </c>
      <c r="Q38" s="2">
        <f t="shared" si="9"/>
        <v>0.11554884116444428</v>
      </c>
      <c r="R38" s="2">
        <f t="shared" si="9"/>
        <v>0.10673819214815869</v>
      </c>
      <c r="S38" s="2">
        <f t="shared" si="9"/>
        <v>8.333290224459286E-2</v>
      </c>
      <c r="T38" s="2">
        <f t="shared" si="9"/>
        <v>5.3594608185174065E-2</v>
      </c>
      <c r="U38" s="2">
        <f t="shared" si="9"/>
        <v>3.2294111835269028E-2</v>
      </c>
      <c r="V38" s="2">
        <f t="shared" si="9"/>
        <v>1.4839725160158678E-2</v>
      </c>
      <c r="W38" s="2">
        <f t="shared" si="9"/>
        <v>5.6497345030734496E-2</v>
      </c>
    </row>
    <row r="40" spans="1:23" x14ac:dyDescent="0.25">
      <c r="A40" s="5" t="s">
        <v>49</v>
      </c>
    </row>
    <row r="41" spans="1:23" x14ac:dyDescent="0.25">
      <c r="A41" s="5" t="s">
        <v>37</v>
      </c>
      <c r="D41" s="2">
        <f t="shared" ref="D41:W41" si="10">D7/D29</f>
        <v>9.2932726574921872E-4</v>
      </c>
      <c r="E41" s="2">
        <f t="shared" si="10"/>
        <v>7.6691786185430438E-5</v>
      </c>
      <c r="F41" s="2">
        <f t="shared" si="10"/>
        <v>9.7930245240307776E-5</v>
      </c>
      <c r="G41" s="2">
        <f t="shared" si="10"/>
        <v>3.0451804382157792E-4</v>
      </c>
      <c r="H41" s="2">
        <f t="shared" si="10"/>
        <v>4.8572874832678492E-4</v>
      </c>
      <c r="I41" s="2">
        <f t="shared" si="10"/>
        <v>5.9212105847940104E-4</v>
      </c>
      <c r="J41" s="2">
        <f t="shared" si="10"/>
        <v>8.0084765812474235E-4</v>
      </c>
      <c r="K41" s="2">
        <f t="shared" si="10"/>
        <v>1.1346280188896439E-3</v>
      </c>
      <c r="L41" s="2">
        <f t="shared" si="10"/>
        <v>1.7503889547925513E-3</v>
      </c>
      <c r="M41" s="2">
        <f t="shared" si="10"/>
        <v>2.5725036922964808E-3</v>
      </c>
      <c r="N41" s="2">
        <f t="shared" si="10"/>
        <v>3.7266597752881247E-3</v>
      </c>
      <c r="O41" s="2">
        <f t="shared" si="10"/>
        <v>5.7153726115093196E-3</v>
      </c>
      <c r="P41" s="2">
        <f t="shared" si="10"/>
        <v>9.1703068934604944E-3</v>
      </c>
      <c r="Q41" s="2">
        <f t="shared" si="10"/>
        <v>1.4452060377732966E-2</v>
      </c>
      <c r="R41" s="2">
        <f t="shared" si="10"/>
        <v>2.2726480355199231E-2</v>
      </c>
      <c r="S41" s="2">
        <f t="shared" si="10"/>
        <v>3.97035767308625E-2</v>
      </c>
      <c r="T41" s="2">
        <f t="shared" si="10"/>
        <v>6.9003055757780374E-2</v>
      </c>
      <c r="U41" s="2">
        <f t="shared" si="10"/>
        <v>0.12440588905402448</v>
      </c>
      <c r="V41" s="2">
        <f t="shared" si="10"/>
        <v>0.23492200165204477</v>
      </c>
      <c r="W41" s="2">
        <f t="shared" si="10"/>
        <v>9.030432956322703E-3</v>
      </c>
    </row>
    <row r="42" spans="1:23" x14ac:dyDescent="0.25">
      <c r="A42" s="5" t="s">
        <v>39</v>
      </c>
      <c r="D42" s="2">
        <f t="shared" ref="D42:W42" si="11">D11/D33</f>
        <v>7.7628900405273611E-4</v>
      </c>
      <c r="E42" s="2">
        <f t="shared" si="11"/>
        <v>6.3889432166373296E-5</v>
      </c>
      <c r="F42" s="2">
        <f t="shared" si="11"/>
        <v>7.1998172228218663E-5</v>
      </c>
      <c r="G42" s="2">
        <f t="shared" si="11"/>
        <v>1.610297958936988E-4</v>
      </c>
      <c r="H42" s="2">
        <f t="shared" si="11"/>
        <v>2.03431802878615E-4</v>
      </c>
      <c r="I42" s="2">
        <f t="shared" si="11"/>
        <v>2.7731986539668822E-4</v>
      </c>
      <c r="J42" s="2">
        <f>J11/J33</f>
        <v>4.366765861295269E-4</v>
      </c>
      <c r="K42" s="2">
        <f t="shared" si="11"/>
        <v>6.6330001660855993E-4</v>
      </c>
      <c r="L42" s="2">
        <f t="shared" si="11"/>
        <v>1.0416052799480675E-3</v>
      </c>
      <c r="M42" s="2">
        <f t="shared" si="11"/>
        <v>1.6362695914267668E-3</v>
      </c>
      <c r="N42" s="2">
        <f t="shared" si="11"/>
        <v>2.4678845415651482E-3</v>
      </c>
      <c r="O42" s="2">
        <f t="shared" si="11"/>
        <v>3.8258681303361707E-3</v>
      </c>
      <c r="P42" s="2">
        <f t="shared" si="11"/>
        <v>6.0380981618476503E-3</v>
      </c>
      <c r="Q42" s="2">
        <f t="shared" si="11"/>
        <v>9.4345045687512091E-3</v>
      </c>
      <c r="R42" s="2">
        <f t="shared" si="11"/>
        <v>1.5243584692527458E-2</v>
      </c>
      <c r="S42" s="2">
        <f t="shared" si="11"/>
        <v>2.7545673507675648E-2</v>
      </c>
      <c r="T42" s="2">
        <f t="shared" si="11"/>
        <v>5.0500281494533165E-2</v>
      </c>
      <c r="U42" s="2">
        <f t="shared" si="11"/>
        <v>9.747070751911717E-2</v>
      </c>
      <c r="V42" s="2">
        <f t="shared" si="11"/>
        <v>0.21207232343881652</v>
      </c>
      <c r="W42" s="2">
        <f t="shared" si="11"/>
        <v>9.0832965768290266E-3</v>
      </c>
    </row>
    <row r="43" spans="1:23" x14ac:dyDescent="0.25">
      <c r="A43" s="5" t="s">
        <v>48</v>
      </c>
      <c r="D43" s="2">
        <f>(SUM(D4:D6)+SUM(D8:D10))/(SUM(D26:D28)+SUM(D30:D32))</f>
        <v>8.5474401667476937E-4</v>
      </c>
      <c r="E43" s="2">
        <f t="shared" ref="E43:W43" si="12">(SUM(E4:E6)+SUM(E8:E10))/(SUM(E26:E28)+SUM(E30:E32))</f>
        <v>7.0444382251397004E-5</v>
      </c>
      <c r="F43" s="2">
        <f t="shared" si="12"/>
        <v>8.5284043744430352E-5</v>
      </c>
      <c r="G43" s="2">
        <f t="shared" si="12"/>
        <v>2.3471327824670088E-4</v>
      </c>
      <c r="H43" s="2">
        <f t="shared" si="12"/>
        <v>3.4848182303307137E-4</v>
      </c>
      <c r="I43" s="2">
        <f t="shared" si="12"/>
        <v>4.366713465308984E-4</v>
      </c>
      <c r="J43" s="2">
        <f t="shared" si="12"/>
        <v>6.1851670244022139E-4</v>
      </c>
      <c r="K43" s="2">
        <f t="shared" si="12"/>
        <v>8.977854973595469E-4</v>
      </c>
      <c r="L43" s="2">
        <f t="shared" si="12"/>
        <v>1.3937515095838089E-3</v>
      </c>
      <c r="M43" s="2">
        <f t="shared" si="12"/>
        <v>2.0989476895172249E-3</v>
      </c>
      <c r="N43" s="2">
        <f t="shared" si="12"/>
        <v>3.0886290428534537E-3</v>
      </c>
      <c r="O43" s="2">
        <f t="shared" si="12"/>
        <v>4.7588362294773154E-3</v>
      </c>
      <c r="P43" s="2">
        <f t="shared" si="12"/>
        <v>7.5733781304420265E-3</v>
      </c>
      <c r="Q43" s="2">
        <f t="shared" si="12"/>
        <v>1.1866046417364691E-2</v>
      </c>
      <c r="R43" s="2">
        <f t="shared" si="12"/>
        <v>1.8825572821260666E-2</v>
      </c>
      <c r="S43" s="2">
        <f t="shared" si="12"/>
        <v>3.3162251757877771E-2</v>
      </c>
      <c r="T43" s="2">
        <f t="shared" si="12"/>
        <v>5.8585486734070984E-2</v>
      </c>
      <c r="U43" s="2">
        <f t="shared" si="12"/>
        <v>0.10797795126588193</v>
      </c>
      <c r="V43" s="2">
        <f t="shared" si="12"/>
        <v>0.21913130467209788</v>
      </c>
      <c r="W43" s="2">
        <f t="shared" si="12"/>
        <v>9.0571795183386327E-3</v>
      </c>
    </row>
    <row r="45" spans="1:23" x14ac:dyDescent="0.25">
      <c r="A45" s="5" t="s">
        <v>50</v>
      </c>
    </row>
    <row r="46" spans="1:23" x14ac:dyDescent="0.25">
      <c r="A46" s="2" t="s">
        <v>51</v>
      </c>
      <c r="J46" s="2">
        <f>I47*5*J41</f>
        <v>4.0042382906237117</v>
      </c>
      <c r="K46" s="2">
        <f>J47*5*K41</f>
        <v>5.6504234896539574</v>
      </c>
      <c r="L46" s="2">
        <f t="shared" ref="L46:U46" si="13">K47*5*L41</f>
        <v>8.6674477072504779</v>
      </c>
      <c r="M46" s="2">
        <f t="shared" si="13"/>
        <v>12.626849989945772</v>
      </c>
      <c r="N46" s="2">
        <f t="shared" si="13"/>
        <v>18.056617664582003</v>
      </c>
      <c r="O46" s="2">
        <f t="shared" si="13"/>
        <v>27.176437390502031</v>
      </c>
      <c r="P46" s="2">
        <f t="shared" si="13"/>
        <v>42.358472202174354</v>
      </c>
      <c r="Q46" s="2">
        <f t="shared" si="13"/>
        <v>63.694530531183823</v>
      </c>
      <c r="R46" s="2">
        <f t="shared" si="13"/>
        <v>92.924599076380005</v>
      </c>
      <c r="S46" s="2">
        <f t="shared" si="13"/>
        <v>143.89377895090735</v>
      </c>
      <c r="T46" s="2">
        <f t="shared" si="13"/>
        <v>200.43545478438145</v>
      </c>
      <c r="U46" s="2">
        <f t="shared" si="13"/>
        <v>236.68913950533636</v>
      </c>
    </row>
    <row r="47" spans="1:23" x14ac:dyDescent="0.25">
      <c r="A47" s="2" t="s">
        <v>52</v>
      </c>
      <c r="I47" s="2">
        <v>1000</v>
      </c>
      <c r="J47" s="2">
        <f>I47-J46</f>
        <v>995.99576170937632</v>
      </c>
      <c r="K47" s="2">
        <f>J47-K46</f>
        <v>990.34533821972241</v>
      </c>
      <c r="L47" s="2">
        <f t="shared" ref="L47:U47" si="14">K47-L46</f>
        <v>981.67789051247189</v>
      </c>
      <c r="M47" s="2">
        <f t="shared" si="14"/>
        <v>969.05104052252614</v>
      </c>
      <c r="N47" s="2">
        <f t="shared" si="14"/>
        <v>950.99442285794419</v>
      </c>
      <c r="O47" s="2">
        <f t="shared" si="14"/>
        <v>923.81798546744221</v>
      </c>
      <c r="P47" s="2">
        <f t="shared" si="14"/>
        <v>881.4595132652679</v>
      </c>
      <c r="Q47" s="2">
        <f t="shared" si="14"/>
        <v>817.76498273408413</v>
      </c>
      <c r="R47" s="2">
        <f t="shared" si="14"/>
        <v>724.84038365770414</v>
      </c>
      <c r="S47" s="2">
        <f t="shared" si="14"/>
        <v>580.94660470679673</v>
      </c>
      <c r="T47" s="2">
        <f t="shared" si="14"/>
        <v>380.51114992241526</v>
      </c>
      <c r="U47" s="2">
        <f t="shared" si="14"/>
        <v>143.8220104170789</v>
      </c>
    </row>
    <row r="48" spans="1:23" x14ac:dyDescent="0.25">
      <c r="A48" s="2" t="s">
        <v>53</v>
      </c>
      <c r="J48" s="2">
        <f>J36*J46</f>
        <v>1.7744039692571836E-2</v>
      </c>
      <c r="K48" s="2">
        <f t="shared" ref="K48:U48" si="15">K36*K46</f>
        <v>6.2918418072237081E-2</v>
      </c>
      <c r="L48" s="2">
        <f t="shared" si="15"/>
        <v>0.18116274105727803</v>
      </c>
      <c r="M48" s="2">
        <f t="shared" si="15"/>
        <v>0.48426607450768611</v>
      </c>
      <c r="N48" s="2">
        <f t="shared" si="15"/>
        <v>1.0619669484011953</v>
      </c>
      <c r="O48" s="2">
        <f t="shared" si="15"/>
        <v>2.1338600567277806</v>
      </c>
      <c r="P48" s="2">
        <f t="shared" si="15"/>
        <v>4.2239682375947174</v>
      </c>
      <c r="Q48" s="2">
        <f t="shared" si="15"/>
        <v>6.9274782148439762</v>
      </c>
      <c r="R48" s="2">
        <f t="shared" si="15"/>
        <v>9.3305437597184842</v>
      </c>
      <c r="S48" s="2">
        <f t="shared" si="15"/>
        <v>12.14883501926561</v>
      </c>
      <c r="T48" s="2">
        <f t="shared" si="15"/>
        <v>11.585917088261262</v>
      </c>
      <c r="U48" s="2">
        <f t="shared" si="15"/>
        <v>8.7860667835873905</v>
      </c>
      <c r="W48" s="3">
        <f>SUM(K48:S48)</f>
        <v>36.554999470188967</v>
      </c>
    </row>
    <row r="50" spans="1:25" x14ac:dyDescent="0.25">
      <c r="A50" s="2" t="s">
        <v>54</v>
      </c>
    </row>
    <row r="51" spans="1:25" x14ac:dyDescent="0.25">
      <c r="A51" s="2" t="s">
        <v>51</v>
      </c>
      <c r="J51" s="2">
        <f>I52*5*J42</f>
        <v>2.1833829306476344</v>
      </c>
      <c r="K51" s="2">
        <f t="shared" ref="K51:U51" si="16">J52*5*K42</f>
        <v>3.3092588933719922</v>
      </c>
      <c r="L51" s="2">
        <f t="shared" si="16"/>
        <v>5.1794205761165246</v>
      </c>
      <c r="M51" s="2">
        <f t="shared" si="16"/>
        <v>8.0940361012180748</v>
      </c>
      <c r="N51" s="2">
        <f t="shared" si="16"/>
        <v>12.107859885840835</v>
      </c>
      <c r="O51" s="2">
        <f t="shared" si="16"/>
        <v>18.538742184426379</v>
      </c>
      <c r="P51" s="2">
        <f t="shared" si="16"/>
        <v>28.698697126771073</v>
      </c>
      <c r="Q51" s="2">
        <f t="shared" si="16"/>
        <v>43.487811151470908</v>
      </c>
      <c r="R51" s="2">
        <f t="shared" si="16"/>
        <v>66.949884269401153</v>
      </c>
      <c r="S51" s="2">
        <f t="shared" si="16"/>
        <v>111.75980874222024</v>
      </c>
      <c r="T51" s="2">
        <f t="shared" si="16"/>
        <v>176.6729870760702</v>
      </c>
      <c r="U51" s="2">
        <f t="shared" si="16"/>
        <v>254.8947266528435</v>
      </c>
    </row>
    <row r="52" spans="1:25" x14ac:dyDescent="0.25">
      <c r="A52" s="2" t="s">
        <v>52</v>
      </c>
      <c r="I52" s="2">
        <v>1000</v>
      </c>
      <c r="J52" s="2">
        <f>I52-J51</f>
        <v>997.81661706935233</v>
      </c>
      <c r="K52" s="2">
        <f t="shared" ref="K52:U52" si="17">J52-K51</f>
        <v>994.50735817598036</v>
      </c>
      <c r="L52" s="2">
        <f t="shared" si="17"/>
        <v>989.32793759986384</v>
      </c>
      <c r="M52" s="2">
        <f t="shared" si="17"/>
        <v>981.23390149864576</v>
      </c>
      <c r="N52" s="2">
        <f t="shared" si="17"/>
        <v>969.1260416128049</v>
      </c>
      <c r="O52" s="2">
        <f t="shared" si="17"/>
        <v>950.58729942837851</v>
      </c>
      <c r="P52" s="2">
        <f t="shared" si="17"/>
        <v>921.88860230160742</v>
      </c>
      <c r="Q52" s="2">
        <f t="shared" si="17"/>
        <v>878.40079115013646</v>
      </c>
      <c r="R52" s="2">
        <f t="shared" si="17"/>
        <v>811.45090688073526</v>
      </c>
      <c r="S52" s="2">
        <f t="shared" si="17"/>
        <v>699.69109813851503</v>
      </c>
      <c r="T52" s="2">
        <f t="shared" si="17"/>
        <v>523.01811106244486</v>
      </c>
      <c r="U52" s="2">
        <f t="shared" si="17"/>
        <v>268.12338440960139</v>
      </c>
    </row>
    <row r="53" spans="1:25" x14ac:dyDescent="0.25">
      <c r="A53" s="2" t="s">
        <v>53</v>
      </c>
      <c r="J53" s="2">
        <f>J37*J51</f>
        <v>2.2752350107096156E-2</v>
      </c>
      <c r="K53" s="2">
        <f t="shared" ref="K53:U53" si="18">K37*K51</f>
        <v>4.9404860377737961E-2</v>
      </c>
      <c r="L53" s="2">
        <f t="shared" si="18"/>
        <v>0.14062185834613089</v>
      </c>
      <c r="M53" s="2">
        <f t="shared" si="18"/>
        <v>0.4173261212529486</v>
      </c>
      <c r="N53" s="2">
        <f t="shared" si="18"/>
        <v>0.84415165935431502</v>
      </c>
      <c r="O53" s="2">
        <f t="shared" si="18"/>
        <v>1.8905948887509476</v>
      </c>
      <c r="P53" s="2">
        <f t="shared" si="18"/>
        <v>3.4127809829658502</v>
      </c>
      <c r="Q53" s="2">
        <f t="shared" si="18"/>
        <v>5.450136957633898</v>
      </c>
      <c r="R53" s="2">
        <f t="shared" si="18"/>
        <v>7.7261313871821304</v>
      </c>
      <c r="S53" s="2">
        <f t="shared" si="18"/>
        <v>9.1616368083759152</v>
      </c>
      <c r="T53" s="2">
        <f t="shared" si="18"/>
        <v>8.6801119798907784</v>
      </c>
      <c r="U53" s="2">
        <f t="shared" si="18"/>
        <v>7.2272749846740654</v>
      </c>
      <c r="W53" s="3">
        <f>SUM(L53:S53)</f>
        <v>29.043380663862138</v>
      </c>
    </row>
    <row r="55" spans="1:25" x14ac:dyDescent="0.25">
      <c r="A55" s="2" t="s">
        <v>48</v>
      </c>
    </row>
    <row r="56" spans="1:25" x14ac:dyDescent="0.25">
      <c r="A56" s="2" t="s">
        <v>51</v>
      </c>
      <c r="J56" s="2">
        <f>I57*5*J43</f>
        <v>3.0925835122011067</v>
      </c>
      <c r="K56" s="2">
        <f t="shared" ref="K56:U56" si="19">J57*5*K43</f>
        <v>4.4750451036645966</v>
      </c>
      <c r="L56" s="2">
        <f t="shared" si="19"/>
        <v>6.9160205788823816</v>
      </c>
      <c r="M56" s="2">
        <f t="shared" si="19"/>
        <v>10.342736337520652</v>
      </c>
      <c r="N56" s="2">
        <f t="shared" si="19"/>
        <v>15.059747737347058</v>
      </c>
      <c r="O56" s="2">
        <f t="shared" si="19"/>
        <v>22.845123267100536</v>
      </c>
      <c r="P56" s="2">
        <f t="shared" si="19"/>
        <v>35.49145302045855</v>
      </c>
      <c r="Q56" s="2">
        <f t="shared" si="19"/>
        <v>53.502655932599609</v>
      </c>
      <c r="R56" s="2">
        <f t="shared" si="19"/>
        <v>79.846279522002618</v>
      </c>
      <c r="S56" s="2">
        <f t="shared" si="19"/>
        <v>127.41407283005657</v>
      </c>
      <c r="T56" s="2">
        <f t="shared" si="19"/>
        <v>187.77066861863642</v>
      </c>
      <c r="U56" s="2">
        <f t="shared" si="19"/>
        <v>244.70158407171786</v>
      </c>
    </row>
    <row r="57" spans="1:25" x14ac:dyDescent="0.25">
      <c r="A57" s="2" t="s">
        <v>52</v>
      </c>
      <c r="I57" s="2">
        <v>1000</v>
      </c>
      <c r="J57" s="2">
        <f>I57-J56</f>
        <v>996.90741648779886</v>
      </c>
      <c r="K57" s="2">
        <f t="shared" ref="K57:U57" si="20">J57-K56</f>
        <v>992.43237138413429</v>
      </c>
      <c r="L57" s="2">
        <f t="shared" si="20"/>
        <v>985.51635080525193</v>
      </c>
      <c r="M57" s="2">
        <f t="shared" si="20"/>
        <v>975.17361446773123</v>
      </c>
      <c r="N57" s="2">
        <f t="shared" si="20"/>
        <v>960.11386673038419</v>
      </c>
      <c r="O57" s="2">
        <f t="shared" si="20"/>
        <v>937.26874346328361</v>
      </c>
      <c r="P57" s="2">
        <f t="shared" si="20"/>
        <v>901.77729044282501</v>
      </c>
      <c r="Q57" s="2">
        <f t="shared" si="20"/>
        <v>848.27463451022538</v>
      </c>
      <c r="R57" s="2">
        <f t="shared" si="20"/>
        <v>768.42835498822274</v>
      </c>
      <c r="S57" s="2">
        <f t="shared" si="20"/>
        <v>641.01428215816622</v>
      </c>
      <c r="T57" s="2">
        <f t="shared" si="20"/>
        <v>453.2436135395298</v>
      </c>
      <c r="U57" s="2">
        <f t="shared" si="20"/>
        <v>208.54202946781194</v>
      </c>
    </row>
    <row r="58" spans="1:25" x14ac:dyDescent="0.25">
      <c r="A58" s="2" t="s">
        <v>53</v>
      </c>
      <c r="J58" s="2">
        <f>J38*J56</f>
        <v>2.0251570066255543E-2</v>
      </c>
      <c r="K58" s="2">
        <f t="shared" ref="K58:U58" si="21">K38*K56</f>
        <v>5.6133879655069323E-2</v>
      </c>
      <c r="L58" s="2">
        <f t="shared" si="21"/>
        <v>0.16080590596400215</v>
      </c>
      <c r="M58" s="2">
        <f t="shared" si="21"/>
        <v>0.45052972451124118</v>
      </c>
      <c r="N58" s="2">
        <f t="shared" si="21"/>
        <v>0.95222984540719269</v>
      </c>
      <c r="O58" s="2">
        <f t="shared" si="21"/>
        <v>2.0119136621265818</v>
      </c>
      <c r="P58" s="2">
        <f t="shared" si="21"/>
        <v>3.8161582308948439</v>
      </c>
      <c r="Q58" s="2">
        <f t="shared" si="21"/>
        <v>6.1821698922318644</v>
      </c>
      <c r="R58" s="2">
        <f t="shared" si="21"/>
        <v>8.5226475259351044</v>
      </c>
      <c r="S58" s="2">
        <f t="shared" si="21"/>
        <v>10.61778447573254</v>
      </c>
      <c r="T58" s="2">
        <f t="shared" si="21"/>
        <v>10.063495413283979</v>
      </c>
      <c r="U58" s="2">
        <f t="shared" si="21"/>
        <v>7.9024203222795428</v>
      </c>
      <c r="W58" s="3">
        <f>SUM(L58:S58)</f>
        <v>32.714239262803375</v>
      </c>
      <c r="Y58" s="2">
        <f>W58/1000</f>
        <v>3.2714239262803375E-2</v>
      </c>
    </row>
    <row r="60" spans="1:25" x14ac:dyDescent="0.25">
      <c r="A60" s="2" t="s">
        <v>50</v>
      </c>
    </row>
    <row r="61" spans="1:25" x14ac:dyDescent="0.25">
      <c r="A61" s="2" t="s">
        <v>51</v>
      </c>
      <c r="D61" s="2">
        <f>C62*5*D41</f>
        <v>4.6466363287460934</v>
      </c>
      <c r="E61" s="2">
        <f t="shared" ref="E61:U61" si="22">D62*5*E41</f>
        <v>0.38167713672812392</v>
      </c>
      <c r="F61" s="2">
        <f t="shared" si="22"/>
        <v>0.48718910634744367</v>
      </c>
      <c r="G61" s="2">
        <f t="shared" si="22"/>
        <v>1.5141923688385694</v>
      </c>
      <c r="H61" s="2">
        <f t="shared" si="22"/>
        <v>2.4115711170106939</v>
      </c>
      <c r="I61" s="2">
        <f t="shared" si="22"/>
        <v>2.932653430139736</v>
      </c>
      <c r="J61" s="2">
        <f t="shared" si="22"/>
        <v>3.9546901684055249</v>
      </c>
      <c r="K61" s="2">
        <f t="shared" si="22"/>
        <v>5.5805056043209449</v>
      </c>
      <c r="L61" s="2">
        <f t="shared" si="22"/>
        <v>8.5601974071561511</v>
      </c>
      <c r="M61" s="2">
        <f t="shared" si="22"/>
        <v>12.470606364785519</v>
      </c>
      <c r="N61" s="2">
        <f t="shared" si="22"/>
        <v>17.833186531378285</v>
      </c>
      <c r="O61" s="2">
        <f t="shared" si="22"/>
        <v>26.840158342266431</v>
      </c>
      <c r="P61" s="2">
        <f t="shared" si="22"/>
        <v>41.834331877517982</v>
      </c>
      <c r="Q61" s="2">
        <f t="shared" si="22"/>
        <v>62.906379538577021</v>
      </c>
      <c r="R61" s="2">
        <f t="shared" si="22"/>
        <v>91.774757568971765</v>
      </c>
      <c r="S61" s="2">
        <f t="shared" si="22"/>
        <v>142.11324891537194</v>
      </c>
      <c r="T61" s="2">
        <f t="shared" si="22"/>
        <v>197.95528260437675</v>
      </c>
      <c r="U61" s="2">
        <f t="shared" si="22"/>
        <v>233.76036714945806</v>
      </c>
    </row>
    <row r="62" spans="1:25" x14ac:dyDescent="0.25">
      <c r="A62" s="2" t="s">
        <v>52</v>
      </c>
      <c r="C62" s="2">
        <v>1000</v>
      </c>
      <c r="D62" s="2">
        <f>C62-D61</f>
        <v>995.35336367125387</v>
      </c>
      <c r="E62" s="2">
        <f t="shared" ref="E62:U62" si="23">D62-E61</f>
        <v>994.9716865345257</v>
      </c>
      <c r="F62" s="2">
        <f t="shared" si="23"/>
        <v>994.4844974281782</v>
      </c>
      <c r="G62" s="2">
        <f t="shared" si="23"/>
        <v>992.97030505933958</v>
      </c>
      <c r="H62" s="2">
        <f t="shared" si="23"/>
        <v>990.5587339423289</v>
      </c>
      <c r="I62" s="2">
        <f t="shared" si="23"/>
        <v>987.62608051218922</v>
      </c>
      <c r="J62" s="2">
        <f t="shared" si="23"/>
        <v>983.67139034378374</v>
      </c>
      <c r="K62" s="2">
        <f t="shared" si="23"/>
        <v>978.09088473946281</v>
      </c>
      <c r="L62" s="2">
        <f t="shared" si="23"/>
        <v>969.53068733230668</v>
      </c>
      <c r="M62" s="2">
        <f t="shared" si="23"/>
        <v>957.06008096752112</v>
      </c>
      <c r="N62" s="2">
        <f t="shared" si="23"/>
        <v>939.22689443614286</v>
      </c>
      <c r="O62" s="2">
        <f t="shared" si="23"/>
        <v>912.38673609387638</v>
      </c>
      <c r="P62" s="2">
        <f t="shared" si="23"/>
        <v>870.55240421635835</v>
      </c>
      <c r="Q62" s="2">
        <f t="shared" si="23"/>
        <v>807.64602467778138</v>
      </c>
      <c r="R62" s="2">
        <f t="shared" si="23"/>
        <v>715.87126710880966</v>
      </c>
      <c r="S62" s="2">
        <f t="shared" si="23"/>
        <v>573.75801819343769</v>
      </c>
      <c r="T62" s="2">
        <f t="shared" si="23"/>
        <v>375.80273558906094</v>
      </c>
      <c r="U62" s="2">
        <f t="shared" si="23"/>
        <v>142.04236843960288</v>
      </c>
    </row>
    <row r="63" spans="1:25" x14ac:dyDescent="0.25">
      <c r="A63" s="2" t="s">
        <v>53</v>
      </c>
      <c r="D63" s="2">
        <f>D36*D61</f>
        <v>9.1379278834731426E-4</v>
      </c>
      <c r="E63" s="2">
        <f t="shared" ref="E63:U63" si="24">E36*E61</f>
        <v>0</v>
      </c>
      <c r="F63" s="2">
        <f t="shared" si="24"/>
        <v>0</v>
      </c>
      <c r="G63" s="2">
        <f t="shared" si="24"/>
        <v>9.7501118405574332E-4</v>
      </c>
      <c r="H63" s="2">
        <f t="shared" si="24"/>
        <v>2.582903731178894E-3</v>
      </c>
      <c r="I63" s="2">
        <f t="shared" si="24"/>
        <v>7.2951577864172534E-3</v>
      </c>
      <c r="J63" s="2">
        <f t="shared" si="24"/>
        <v>1.7524476374027435E-2</v>
      </c>
      <c r="K63" s="2">
        <f t="shared" si="24"/>
        <v>6.21398706327108E-2</v>
      </c>
      <c r="L63" s="2">
        <f t="shared" si="24"/>
        <v>0.17892104788524418</v>
      </c>
      <c r="M63" s="2">
        <f t="shared" si="24"/>
        <v>0.47827380509104989</v>
      </c>
      <c r="N63" s="2">
        <f t="shared" si="24"/>
        <v>1.048826254882963</v>
      </c>
      <c r="O63" s="2">
        <f t="shared" si="24"/>
        <v>2.1074558441875757</v>
      </c>
      <c r="P63" s="2">
        <f t="shared" si="24"/>
        <v>4.1717011947036502</v>
      </c>
      <c r="Q63" s="2">
        <f t="shared" si="24"/>
        <v>6.8417581571599309</v>
      </c>
      <c r="R63" s="2">
        <f t="shared" si="24"/>
        <v>9.2150883624582303</v>
      </c>
      <c r="S63" s="2">
        <f t="shared" si="24"/>
        <v>11.998506312866517</v>
      </c>
      <c r="T63" s="2">
        <f t="shared" si="24"/>
        <v>11.442553883018665</v>
      </c>
      <c r="U63" s="2">
        <f t="shared" si="24"/>
        <v>8.6773487005927503</v>
      </c>
      <c r="W63" s="3">
        <f>SUM(K63:S63)</f>
        <v>36.10267084986787</v>
      </c>
    </row>
    <row r="65" spans="1:23" x14ac:dyDescent="0.25">
      <c r="A65" s="2" t="s">
        <v>54</v>
      </c>
    </row>
    <row r="66" spans="1:23" x14ac:dyDescent="0.25">
      <c r="A66" s="2" t="s">
        <v>51</v>
      </c>
      <c r="D66" s="2">
        <f>C67*5*D42</f>
        <v>3.8814450202636808</v>
      </c>
      <c r="E66" s="2">
        <f t="shared" ref="E66:U66" si="25">D67*5*E42</f>
        <v>0.31820724424021823</v>
      </c>
      <c r="F66" s="2">
        <f t="shared" si="25"/>
        <v>0.35847902470590143</v>
      </c>
      <c r="G66" s="2">
        <f t="shared" si="25"/>
        <v>0.80147900471270328</v>
      </c>
      <c r="H66" s="2">
        <f t="shared" si="25"/>
        <v>1.0117074384689777</v>
      </c>
      <c r="I66" s="2">
        <f t="shared" si="25"/>
        <v>1.3777648621037095</v>
      </c>
      <c r="J66" s="2">
        <f t="shared" si="25"/>
        <v>2.1664637159826348</v>
      </c>
      <c r="K66" s="2">
        <f t="shared" si="25"/>
        <v>3.2836151728806851</v>
      </c>
      <c r="L66" s="2">
        <f t="shared" si="25"/>
        <v>5.1392848182805704</v>
      </c>
      <c r="M66" s="2">
        <f t="shared" si="25"/>
        <v>8.0313147469469097</v>
      </c>
      <c r="N66" s="2">
        <f t="shared" si="25"/>
        <v>12.014035079542881</v>
      </c>
      <c r="O66" s="2">
        <f t="shared" si="25"/>
        <v>18.395083940041207</v>
      </c>
      <c r="P66" s="2">
        <f t="shared" si="25"/>
        <v>28.476308552381322</v>
      </c>
      <c r="Q66" s="2">
        <f t="shared" si="25"/>
        <v>43.150820511004355</v>
      </c>
      <c r="R66" s="2">
        <f t="shared" si="25"/>
        <v>66.431084086505663</v>
      </c>
      <c r="S66" s="2">
        <f t="shared" si="25"/>
        <v>110.89377275353182</v>
      </c>
      <c r="T66" s="2">
        <f t="shared" si="25"/>
        <v>175.3039335070016</v>
      </c>
      <c r="U66" s="2">
        <f t="shared" si="25"/>
        <v>252.91952636310941</v>
      </c>
    </row>
    <row r="67" spans="1:23" x14ac:dyDescent="0.25">
      <c r="A67" s="2" t="s">
        <v>52</v>
      </c>
      <c r="C67" s="2">
        <v>1000</v>
      </c>
      <c r="D67" s="2">
        <f>C67-D66</f>
        <v>996.11855497973636</v>
      </c>
      <c r="E67" s="2">
        <f t="shared" ref="E67:U67" si="26">D67-E66</f>
        <v>995.80034773549619</v>
      </c>
      <c r="F67" s="2">
        <f t="shared" si="26"/>
        <v>995.44186871079023</v>
      </c>
      <c r="G67" s="2">
        <f t="shared" si="26"/>
        <v>994.64038970607749</v>
      </c>
      <c r="H67" s="2">
        <f t="shared" si="26"/>
        <v>993.6286822676085</v>
      </c>
      <c r="I67" s="2">
        <f t="shared" si="26"/>
        <v>992.25091740550477</v>
      </c>
      <c r="J67" s="2">
        <f t="shared" si="26"/>
        <v>990.08445368952209</v>
      </c>
      <c r="K67" s="2">
        <f t="shared" si="26"/>
        <v>986.80083851664142</v>
      </c>
      <c r="L67" s="2">
        <f t="shared" si="26"/>
        <v>981.66155369836088</v>
      </c>
      <c r="M67" s="2">
        <f t="shared" si="26"/>
        <v>973.63023895141396</v>
      </c>
      <c r="N67" s="2">
        <f t="shared" si="26"/>
        <v>961.61620387187111</v>
      </c>
      <c r="O67" s="2">
        <f t="shared" si="26"/>
        <v>943.22111993182989</v>
      </c>
      <c r="P67" s="2">
        <f t="shared" si="26"/>
        <v>914.74481137944861</v>
      </c>
      <c r="Q67" s="2">
        <f t="shared" si="26"/>
        <v>871.59399086844428</v>
      </c>
      <c r="R67" s="2">
        <f t="shared" si="26"/>
        <v>805.16290678193866</v>
      </c>
      <c r="S67" s="2">
        <f t="shared" si="26"/>
        <v>694.26913402840682</v>
      </c>
      <c r="T67" s="2">
        <f t="shared" si="26"/>
        <v>518.96520052140522</v>
      </c>
      <c r="U67" s="2">
        <f t="shared" si="26"/>
        <v>266.04567415829581</v>
      </c>
    </row>
    <row r="68" spans="1:23" x14ac:dyDescent="0.25">
      <c r="A68" s="2" t="s">
        <v>53</v>
      </c>
      <c r="D68" s="2">
        <f>D37*D66</f>
        <v>9.6122957411185752E-4</v>
      </c>
      <c r="E68" s="2">
        <f t="shared" ref="E68:U68" si="27">E37*E66</f>
        <v>0</v>
      </c>
      <c r="F68" s="2">
        <f t="shared" si="27"/>
        <v>0</v>
      </c>
      <c r="G68" s="2">
        <f t="shared" si="27"/>
        <v>2.0603573385930677E-3</v>
      </c>
      <c r="H68" s="2">
        <f t="shared" si="27"/>
        <v>2.7343444282945345E-3</v>
      </c>
      <c r="I68" s="2">
        <f t="shared" si="27"/>
        <v>7.5014420804194711E-3</v>
      </c>
      <c r="J68" s="2">
        <f t="shared" si="27"/>
        <v>2.2576040266897392E-2</v>
      </c>
      <c r="K68" s="2">
        <f t="shared" si="27"/>
        <v>4.9022018034101368E-2</v>
      </c>
      <c r="L68" s="2">
        <f t="shared" si="27"/>
        <v>0.13953216795121534</v>
      </c>
      <c r="M68" s="2">
        <f t="shared" si="27"/>
        <v>0.41409222667051915</v>
      </c>
      <c r="N68" s="2">
        <f t="shared" si="27"/>
        <v>0.83761025842369841</v>
      </c>
      <c r="O68" s="2">
        <f t="shared" si="27"/>
        <v>1.8759445128052863</v>
      </c>
      <c r="P68" s="2">
        <f t="shared" si="27"/>
        <v>3.3863350612519252</v>
      </c>
      <c r="Q68" s="2">
        <f t="shared" si="27"/>
        <v>5.4079033961978826</v>
      </c>
      <c r="R68" s="2">
        <f t="shared" si="27"/>
        <v>7.6662609569269335</v>
      </c>
      <c r="S68" s="2">
        <f t="shared" si="27"/>
        <v>9.0906425280470451</v>
      </c>
      <c r="T68" s="2">
        <f t="shared" si="27"/>
        <v>8.6128490752291391</v>
      </c>
      <c r="U68" s="2">
        <f t="shared" si="27"/>
        <v>7.171270233884699</v>
      </c>
      <c r="W68" s="3">
        <f>SUM(L68:S68)</f>
        <v>28.818321108274507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6A24-17F5-4863-BCC2-605F98029EEC}">
  <sheetPr codeName="Sheet4"/>
  <dimension ref="A1:V38"/>
  <sheetViews>
    <sheetView topLeftCell="A4" workbookViewId="0">
      <selection activeCell="A10" sqref="A10"/>
    </sheetView>
  </sheetViews>
  <sheetFormatPr defaultRowHeight="15" x14ac:dyDescent="0.25"/>
  <cols>
    <col min="1" max="16384" width="9.140625" style="2"/>
  </cols>
  <sheetData>
    <row r="1" spans="1:22" x14ac:dyDescent="0.25">
      <c r="A1" s="4"/>
      <c r="B1" s="14" t="s">
        <v>55</v>
      </c>
      <c r="C1" s="14" t="s">
        <v>56</v>
      </c>
      <c r="D1" s="14" t="s">
        <v>57</v>
      </c>
      <c r="E1" s="14" t="s">
        <v>58</v>
      </c>
    </row>
    <row r="2" spans="1:22" x14ac:dyDescent="0.25">
      <c r="A2" s="4" t="s">
        <v>59</v>
      </c>
      <c r="B2" s="4">
        <v>23</v>
      </c>
      <c r="C2" s="4">
        <v>1</v>
      </c>
      <c r="D2" s="4">
        <f>B2*C2</f>
        <v>23</v>
      </c>
      <c r="E2" s="17">
        <f>C2/$C$5</f>
        <v>0.16515276630883569</v>
      </c>
    </row>
    <row r="3" spans="1:22" x14ac:dyDescent="0.25">
      <c r="A3" s="4" t="s">
        <v>60</v>
      </c>
      <c r="B3" s="4">
        <v>25</v>
      </c>
      <c r="C3" s="4">
        <v>2.5</v>
      </c>
      <c r="D3" s="4">
        <f t="shared" ref="D3:D4" si="0">B3*C3</f>
        <v>62.5</v>
      </c>
      <c r="E3" s="17">
        <f t="shared" ref="E3:E4" si="1">C3/$C$5</f>
        <v>0.41288191577208921</v>
      </c>
    </row>
    <row r="4" spans="1:22" x14ac:dyDescent="0.25">
      <c r="A4" s="4" t="s">
        <v>61</v>
      </c>
      <c r="B4" s="4">
        <v>52</v>
      </c>
      <c r="C4" s="4">
        <v>10</v>
      </c>
      <c r="D4" s="4">
        <f t="shared" si="0"/>
        <v>520</v>
      </c>
      <c r="E4" s="17">
        <f t="shared" si="1"/>
        <v>1.6515276630883569</v>
      </c>
    </row>
    <row r="5" spans="1:22" x14ac:dyDescent="0.25">
      <c r="A5" s="4"/>
      <c r="B5" s="15">
        <v>100</v>
      </c>
      <c r="C5" s="15">
        <f>D5/B5</f>
        <v>6.0549999999999997</v>
      </c>
      <c r="D5" s="15">
        <f>SUM(D2:D4)</f>
        <v>605.5</v>
      </c>
      <c r="E5" s="4"/>
    </row>
    <row r="7" spans="1:22" x14ac:dyDescent="0.25">
      <c r="C7" s="2" t="s">
        <v>56</v>
      </c>
      <c r="D7" s="2">
        <v>10</v>
      </c>
      <c r="E7" s="2">
        <v>2.5</v>
      </c>
      <c r="F7" s="2">
        <v>1</v>
      </c>
      <c r="G7" s="2">
        <v>10</v>
      </c>
      <c r="H7" s="2">
        <v>2.5</v>
      </c>
      <c r="I7" s="2">
        <v>1</v>
      </c>
      <c r="J7" s="2">
        <v>10</v>
      </c>
      <c r="K7" s="2">
        <v>2.5</v>
      </c>
      <c r="L7" s="2">
        <v>1</v>
      </c>
      <c r="N7" s="2" t="s">
        <v>62</v>
      </c>
    </row>
    <row r="8" spans="1:22" x14ac:dyDescent="0.25">
      <c r="D8" s="2" t="s">
        <v>37</v>
      </c>
      <c r="G8" s="2" t="s">
        <v>39</v>
      </c>
      <c r="J8" s="2" t="s">
        <v>63</v>
      </c>
      <c r="N8" s="2" t="s">
        <v>37</v>
      </c>
      <c r="Q8" s="2" t="s">
        <v>39</v>
      </c>
      <c r="T8" s="2" t="s">
        <v>63</v>
      </c>
    </row>
    <row r="9" spans="1:22" x14ac:dyDescent="0.25">
      <c r="D9" s="2" t="s">
        <v>61</v>
      </c>
      <c r="E9" s="2" t="s">
        <v>60</v>
      </c>
      <c r="F9" s="2" t="s">
        <v>64</v>
      </c>
      <c r="G9" s="2" t="s">
        <v>61</v>
      </c>
      <c r="H9" s="2" t="s">
        <v>60</v>
      </c>
      <c r="I9" s="2" t="s">
        <v>64</v>
      </c>
      <c r="J9" s="2" t="s">
        <v>61</v>
      </c>
      <c r="K9" s="2" t="s">
        <v>60</v>
      </c>
      <c r="L9" s="2" t="s">
        <v>64</v>
      </c>
      <c r="N9" s="2" t="s">
        <v>61</v>
      </c>
      <c r="O9" s="2" t="s">
        <v>60</v>
      </c>
      <c r="P9" s="2" t="s">
        <v>64</v>
      </c>
      <c r="Q9" s="2" t="s">
        <v>61</v>
      </c>
      <c r="R9" s="2" t="s">
        <v>60</v>
      </c>
      <c r="S9" s="2" t="s">
        <v>64</v>
      </c>
      <c r="T9" s="2" t="s">
        <v>61</v>
      </c>
      <c r="U9" s="2" t="s">
        <v>60</v>
      </c>
      <c r="V9" s="2" t="s">
        <v>64</v>
      </c>
    </row>
    <row r="10" spans="1:22" x14ac:dyDescent="0.25">
      <c r="C10" s="2">
        <v>1974</v>
      </c>
      <c r="D10" s="16">
        <v>51.419618269869908</v>
      </c>
      <c r="E10" s="16">
        <f>100-F10-D10</f>
        <v>24.189904629068799</v>
      </c>
      <c r="F10" s="16">
        <v>24.390477101061286</v>
      </c>
      <c r="G10" s="16">
        <v>40.660675248967692</v>
      </c>
      <c r="H10" s="16">
        <f>100-I10-G10</f>
        <v>10.839202809726721</v>
      </c>
      <c r="I10" s="16">
        <v>48.500121941305586</v>
      </c>
      <c r="J10" s="16">
        <v>45.61227165457565</v>
      </c>
      <c r="K10" s="16">
        <f>100-L10-J10</f>
        <v>16.966814461417322</v>
      </c>
      <c r="L10" s="16">
        <v>37.420913884007028</v>
      </c>
      <c r="M10" s="16"/>
      <c r="N10" s="16">
        <f>$D$7/(($D$7*D10+$E$7*E10+$F$7*F10)/100)</f>
        <v>1.6692779142897047</v>
      </c>
      <c r="O10" s="16">
        <f>$E$7/(($D$7*D10+$E$7*E10+$F$7*F10)/100)</f>
        <v>0.41731947857242618</v>
      </c>
      <c r="P10" s="16">
        <f>$F$7/(($D$7*D10+$E$7*E10+$F$7*F10)/100)</f>
        <v>0.16692779142897049</v>
      </c>
      <c r="Q10" s="16">
        <f>$D$7/(($D$7*G10+$E$7*H10+$F$7*I10)/100)</f>
        <v>2.0738072932442941</v>
      </c>
      <c r="R10" s="16">
        <f>$E$7/(($D$7*G10+$E$7*H10+$F$7*I10)/100)</f>
        <v>0.51845182331107353</v>
      </c>
      <c r="S10" s="16">
        <f>$F$7/(($D$7*G10+$E$7*H10+$F$7*I10)/100)</f>
        <v>0.20738072932442944</v>
      </c>
      <c r="T10" s="16">
        <f>$D$7/(($D$7*J10+$E$7*K10+$F$7*L10)/100)</f>
        <v>1.8658085608686459</v>
      </c>
      <c r="U10" s="16">
        <f>$E$7/(($D$7*J10+$E$7*K10+$F$7*L10)/100)</f>
        <v>0.46645214021716147</v>
      </c>
      <c r="V10" s="16">
        <f>$F$7/(($D$7*J10+$E$7*K10+$F$7*L10)/100)</f>
        <v>0.18658085608686459</v>
      </c>
    </row>
    <row r="11" spans="1:22" x14ac:dyDescent="0.25">
      <c r="C11" s="2">
        <v>1976</v>
      </c>
      <c r="D11" s="16">
        <v>46.171208827955191</v>
      </c>
      <c r="E11" s="16">
        <f t="shared" ref="E11:E38" si="2">100-F11-D11</f>
        <v>26.984339249776788</v>
      </c>
      <c r="F11" s="16">
        <v>26.844451922268025</v>
      </c>
      <c r="G11" s="16">
        <v>37.996082130160339</v>
      </c>
      <c r="H11" s="16">
        <f t="shared" ref="H11:H38" si="3">100-I11-G11</f>
        <v>12.273361505144059</v>
      </c>
      <c r="I11" s="16">
        <v>49.730556364695602</v>
      </c>
      <c r="J11" s="16">
        <v>41.792899867940655</v>
      </c>
      <c r="K11" s="16">
        <f t="shared" ref="K11:K38" si="4">100-L11-J11</f>
        <v>19.093126673823598</v>
      </c>
      <c r="L11" s="16">
        <v>39.113973458235748</v>
      </c>
      <c r="M11" s="16"/>
      <c r="N11" s="16">
        <f t="shared" ref="N11:N22" si="5">$D$7/(($D$7*D11+$E$7*E11+$F$7*F11)/100)</f>
        <v>1.7985049046941253</v>
      </c>
      <c r="O11" s="16">
        <f t="shared" ref="O11:O22" si="6">$E$7/(($D$7*D11+$E$7*E11+$F$7*F11)/100)</f>
        <v>0.44962622617353132</v>
      </c>
      <c r="P11" s="16">
        <f t="shared" ref="P11:P22" si="7">$F$7/(($D$7*D11+$E$7*E11+$F$7*F11)/100)</f>
        <v>0.17985049046941254</v>
      </c>
      <c r="Q11" s="16">
        <f t="shared" ref="Q11:Q22" si="8">$D$7/(($D$7*G11+$E$7*H11+$F$7*I11)/100)</f>
        <v>2.1721433065809155</v>
      </c>
      <c r="R11" s="16">
        <f t="shared" ref="R11:R22" si="9">$E$7/(($D$7*G11+$E$7*H11+$F$7*I11)/100)</f>
        <v>0.54303582664522887</v>
      </c>
      <c r="S11" s="16">
        <f t="shared" ref="S11:S22" si="10">$F$7/(($D$7*G11+$E$7*H11+$F$7*I11)/100)</f>
        <v>0.21721433065809154</v>
      </c>
      <c r="T11" s="16">
        <f t="shared" ref="T11:T22" si="11">$D$7/(($D$7*J11+$E$7*K11+$F$7*L11)/100)</f>
        <v>1.9810775836402743</v>
      </c>
      <c r="U11" s="16">
        <f t="shared" ref="U11:U22" si="12">$E$7/(($D$7*J11+$E$7*K11+$F$7*L11)/100)</f>
        <v>0.49526939591006858</v>
      </c>
      <c r="V11" s="16">
        <f t="shared" ref="V11:V22" si="13">$F$7/(($D$7*J11+$E$7*K11+$F$7*L11)/100)</f>
        <v>0.19810775836402744</v>
      </c>
    </row>
    <row r="12" spans="1:22" x14ac:dyDescent="0.25">
      <c r="C12" s="2">
        <v>1978</v>
      </c>
      <c r="D12" s="16">
        <v>44.489990467111532</v>
      </c>
      <c r="E12" s="16">
        <f t="shared" si="2"/>
        <v>26.804980427057764</v>
      </c>
      <c r="F12" s="16">
        <v>28.705029105830711</v>
      </c>
      <c r="G12" s="16">
        <v>36.566918776718182</v>
      </c>
      <c r="H12" s="16">
        <f t="shared" si="3"/>
        <v>13.947357533657858</v>
      </c>
      <c r="I12" s="16">
        <v>49.48572368962396</v>
      </c>
      <c r="J12" s="16">
        <v>40.235719961154764</v>
      </c>
      <c r="K12" s="16">
        <f t="shared" si="4"/>
        <v>19.900370530184929</v>
      </c>
      <c r="L12" s="16">
        <v>39.863909508660306</v>
      </c>
      <c r="M12" s="16"/>
      <c r="N12" s="16">
        <f t="shared" si="5"/>
        <v>1.8497370377526183</v>
      </c>
      <c r="O12" s="16">
        <f t="shared" si="6"/>
        <v>0.46243425943815458</v>
      </c>
      <c r="P12" s="16">
        <f t="shared" si="7"/>
        <v>0.18497370377526184</v>
      </c>
      <c r="Q12" s="16">
        <f t="shared" si="8"/>
        <v>2.2221071403257149</v>
      </c>
      <c r="R12" s="16">
        <f t="shared" si="9"/>
        <v>0.55552678508142872</v>
      </c>
      <c r="S12" s="16">
        <f t="shared" si="10"/>
        <v>0.2222107140325715</v>
      </c>
      <c r="T12" s="16">
        <f t="shared" si="11"/>
        <v>2.0326358572273615</v>
      </c>
      <c r="U12" s="16">
        <f t="shared" si="12"/>
        <v>0.50815896430684038</v>
      </c>
      <c r="V12" s="16">
        <f t="shared" si="13"/>
        <v>0.20326358572273617</v>
      </c>
    </row>
    <row r="13" spans="1:22" x14ac:dyDescent="0.25">
      <c r="C13" s="2">
        <v>1980</v>
      </c>
      <c r="D13" s="16">
        <v>42.392966360856271</v>
      </c>
      <c r="E13" s="16">
        <f t="shared" si="2"/>
        <v>27.539110554861701</v>
      </c>
      <c r="F13" s="16">
        <v>30.067923084282022</v>
      </c>
      <c r="G13" s="16">
        <v>36.756444150693987</v>
      </c>
      <c r="H13" s="16">
        <f t="shared" si="3"/>
        <v>14.388278553661749</v>
      </c>
      <c r="I13" s="16">
        <v>48.855277295644264</v>
      </c>
      <c r="J13" s="16">
        <v>39.369904289259125</v>
      </c>
      <c r="K13" s="16">
        <f t="shared" si="4"/>
        <v>20.482880386157689</v>
      </c>
      <c r="L13" s="16">
        <v>40.147215324583186</v>
      </c>
      <c r="M13" s="16"/>
      <c r="N13" s="16">
        <f t="shared" si="5"/>
        <v>1.9126113964349976</v>
      </c>
      <c r="O13" s="16">
        <f t="shared" si="6"/>
        <v>0.47815284910874939</v>
      </c>
      <c r="P13" s="16">
        <f t="shared" si="7"/>
        <v>0.19126113964349975</v>
      </c>
      <c r="Q13" s="16">
        <f t="shared" si="8"/>
        <v>2.2104800774508413</v>
      </c>
      <c r="R13" s="16">
        <f t="shared" si="9"/>
        <v>0.55262001936271032</v>
      </c>
      <c r="S13" s="16">
        <f t="shared" si="10"/>
        <v>0.22104800774508412</v>
      </c>
      <c r="T13" s="16">
        <f t="shared" si="11"/>
        <v>2.0616284268650298</v>
      </c>
      <c r="U13" s="16">
        <f t="shared" si="12"/>
        <v>0.51540710671625745</v>
      </c>
      <c r="V13" s="16">
        <f t="shared" si="13"/>
        <v>0.20616284268650298</v>
      </c>
    </row>
    <row r="14" spans="1:22" x14ac:dyDescent="0.25">
      <c r="C14" s="2">
        <v>1982</v>
      </c>
      <c r="D14" s="16">
        <v>37.814670138888893</v>
      </c>
      <c r="E14" s="16">
        <f t="shared" si="2"/>
        <v>30.127497488027068</v>
      </c>
      <c r="F14" s="16">
        <v>32.057832373084032</v>
      </c>
      <c r="G14" s="16">
        <v>33.142481697015207</v>
      </c>
      <c r="H14" s="16">
        <f t="shared" si="3"/>
        <v>15.90366058284571</v>
      </c>
      <c r="I14" s="16">
        <v>50.953857720139084</v>
      </c>
      <c r="J14" s="16">
        <v>35.309511826874683</v>
      </c>
      <c r="K14" s="16">
        <f t="shared" si="4"/>
        <v>22.497947850544669</v>
      </c>
      <c r="L14" s="16">
        <v>42.192540322580648</v>
      </c>
      <c r="M14" s="16"/>
      <c r="N14" s="16">
        <f t="shared" si="5"/>
        <v>2.059633484899166</v>
      </c>
      <c r="O14" s="16">
        <f t="shared" si="6"/>
        <v>0.51490837122479149</v>
      </c>
      <c r="P14" s="16">
        <f t="shared" si="7"/>
        <v>0.2059633484899166</v>
      </c>
      <c r="Q14" s="16">
        <f t="shared" si="8"/>
        <v>2.3688945601638931</v>
      </c>
      <c r="R14" s="16">
        <f t="shared" si="9"/>
        <v>0.59222364004097328</v>
      </c>
      <c r="S14" s="16">
        <f t="shared" si="10"/>
        <v>0.2368894560163893</v>
      </c>
      <c r="T14" s="16">
        <f t="shared" si="11"/>
        <v>2.2146798680202466</v>
      </c>
      <c r="U14" s="16">
        <f t="shared" si="12"/>
        <v>0.55366996700506166</v>
      </c>
      <c r="V14" s="16">
        <f t="shared" si="13"/>
        <v>0.22146798680202465</v>
      </c>
    </row>
    <row r="15" spans="1:22" x14ac:dyDescent="0.25">
      <c r="C15" s="2">
        <v>1984</v>
      </c>
      <c r="D15" s="16">
        <v>36.322657176749701</v>
      </c>
      <c r="E15" s="16">
        <f t="shared" si="2"/>
        <v>29.78548304903758</v>
      </c>
      <c r="F15" s="16">
        <v>33.891859774212719</v>
      </c>
      <c r="G15" s="16">
        <v>32.084906623124809</v>
      </c>
      <c r="H15" s="16">
        <f t="shared" si="3"/>
        <v>17.153723933850152</v>
      </c>
      <c r="I15" s="16">
        <v>50.761369443025039</v>
      </c>
      <c r="J15" s="16">
        <v>34.044654122551975</v>
      </c>
      <c r="K15" s="16">
        <f t="shared" si="4"/>
        <v>22.993807415909565</v>
      </c>
      <c r="L15" s="16">
        <v>42.96153846153846</v>
      </c>
      <c r="M15" s="16"/>
      <c r="N15" s="16">
        <f t="shared" si="5"/>
        <v>2.1205213619245886</v>
      </c>
      <c r="O15" s="16">
        <f t="shared" si="6"/>
        <v>0.53013034048114716</v>
      </c>
      <c r="P15" s="16">
        <f t="shared" si="7"/>
        <v>0.21205213619245886</v>
      </c>
      <c r="Q15" s="16">
        <f t="shared" si="8"/>
        <v>2.4125758187169386</v>
      </c>
      <c r="R15" s="16">
        <f t="shared" si="9"/>
        <v>0.60314395467923465</v>
      </c>
      <c r="S15" s="16">
        <f t="shared" si="10"/>
        <v>0.24125758187169385</v>
      </c>
      <c r="T15" s="16">
        <f t="shared" si="11"/>
        <v>2.2681260788268354</v>
      </c>
      <c r="U15" s="16">
        <f t="shared" si="12"/>
        <v>0.56703151970670884</v>
      </c>
      <c r="V15" s="16">
        <f t="shared" si="13"/>
        <v>0.22681260788268354</v>
      </c>
    </row>
    <row r="16" spans="1:22" x14ac:dyDescent="0.25">
      <c r="C16" s="2">
        <v>1986</v>
      </c>
      <c r="D16" s="16">
        <v>34.61408450704225</v>
      </c>
      <c r="E16" s="16">
        <f t="shared" si="2"/>
        <v>31.811989700694298</v>
      </c>
      <c r="F16" s="16">
        <v>33.573925792263445</v>
      </c>
      <c r="G16" s="16">
        <v>30.984274898078045</v>
      </c>
      <c r="H16" s="16">
        <f t="shared" si="3"/>
        <v>18.073428618533573</v>
      </c>
      <c r="I16" s="16">
        <v>50.942296483388382</v>
      </c>
      <c r="J16" s="16">
        <v>32.664128904416749</v>
      </c>
      <c r="K16" s="16">
        <f t="shared" si="4"/>
        <v>24.431012267755889</v>
      </c>
      <c r="L16" s="16">
        <v>42.904858827827361</v>
      </c>
      <c r="M16" s="16"/>
      <c r="N16" s="16">
        <f t="shared" si="5"/>
        <v>2.1774881708245744</v>
      </c>
      <c r="O16" s="16">
        <f t="shared" si="6"/>
        <v>0.54437204270614359</v>
      </c>
      <c r="P16" s="16">
        <f t="shared" si="7"/>
        <v>0.21774881708245744</v>
      </c>
      <c r="Q16" s="16">
        <f t="shared" si="8"/>
        <v>2.4632445910816032</v>
      </c>
      <c r="R16" s="16">
        <f t="shared" si="9"/>
        <v>0.6158111477704008</v>
      </c>
      <c r="S16" s="16">
        <f t="shared" si="10"/>
        <v>0.24632445910816034</v>
      </c>
      <c r="T16" s="16">
        <f t="shared" si="11"/>
        <v>2.3222132219649789</v>
      </c>
      <c r="U16" s="16">
        <f t="shared" si="12"/>
        <v>0.58055330549124473</v>
      </c>
      <c r="V16" s="16">
        <f t="shared" si="13"/>
        <v>0.23222132219649791</v>
      </c>
    </row>
    <row r="17" spans="3:22" x14ac:dyDescent="0.25">
      <c r="C17" s="2">
        <v>1988</v>
      </c>
      <c r="D17" s="16">
        <v>32.879399884593191</v>
      </c>
      <c r="E17" s="16">
        <f t="shared" si="2"/>
        <v>31.908030799325481</v>
      </c>
      <c r="F17" s="16">
        <v>35.212569316081336</v>
      </c>
      <c r="G17" s="16">
        <v>30.422312333102564</v>
      </c>
      <c r="H17" s="16">
        <f t="shared" si="3"/>
        <v>18.618051734962339</v>
      </c>
      <c r="I17" s="16">
        <v>50.959635931935097</v>
      </c>
      <c r="J17" s="16">
        <v>31.556242011077973</v>
      </c>
      <c r="K17" s="16">
        <f t="shared" si="4"/>
        <v>24.748383868265453</v>
      </c>
      <c r="L17" s="16">
        <v>43.695374120656574</v>
      </c>
      <c r="M17" s="16"/>
      <c r="N17" s="16">
        <f t="shared" si="5"/>
        <v>2.2533858212360895</v>
      </c>
      <c r="O17" s="16">
        <f t="shared" si="6"/>
        <v>0.56334645530902239</v>
      </c>
      <c r="P17" s="16">
        <f t="shared" si="7"/>
        <v>0.22533858212360897</v>
      </c>
      <c r="Q17" s="16">
        <f t="shared" si="8"/>
        <v>2.489247145584125</v>
      </c>
      <c r="R17" s="16">
        <f t="shared" si="9"/>
        <v>0.62231178639603124</v>
      </c>
      <c r="S17" s="16">
        <f t="shared" si="10"/>
        <v>0.2489247145584125</v>
      </c>
      <c r="T17" s="16">
        <f t="shared" si="11"/>
        <v>2.3745707001343122</v>
      </c>
      <c r="U17" s="16">
        <f t="shared" si="12"/>
        <v>0.59364267503357804</v>
      </c>
      <c r="V17" s="16">
        <f t="shared" si="13"/>
        <v>0.23745707001343122</v>
      </c>
    </row>
    <row r="18" spans="3:22" x14ac:dyDescent="0.25">
      <c r="C18" s="2">
        <v>1990</v>
      </c>
      <c r="D18" s="16">
        <v>30.969412925505672</v>
      </c>
      <c r="E18" s="16">
        <f t="shared" si="2"/>
        <v>31.609242225635597</v>
      </c>
      <c r="F18" s="16">
        <v>37.42134484885873</v>
      </c>
      <c r="G18" s="16">
        <v>29.103608847497092</v>
      </c>
      <c r="H18" s="16">
        <f t="shared" si="3"/>
        <v>18.995914709940706</v>
      </c>
      <c r="I18" s="16">
        <v>51.900476442562201</v>
      </c>
      <c r="J18" s="16">
        <v>29.965256023238595</v>
      </c>
      <c r="K18" s="16">
        <f t="shared" si="4"/>
        <v>24.821068763086188</v>
      </c>
      <c r="L18" s="16">
        <v>45.213675213675216</v>
      </c>
      <c r="M18" s="16"/>
      <c r="N18" s="16">
        <f t="shared" si="5"/>
        <v>2.3466544633885973</v>
      </c>
      <c r="O18" s="16">
        <f t="shared" si="6"/>
        <v>0.58666361584714932</v>
      </c>
      <c r="P18" s="16">
        <f t="shared" si="7"/>
        <v>0.23466544633885975</v>
      </c>
      <c r="Q18" s="16">
        <f t="shared" si="8"/>
        <v>2.5613025239338745</v>
      </c>
      <c r="R18" s="16">
        <f t="shared" si="9"/>
        <v>0.64032563098346862</v>
      </c>
      <c r="S18" s="16">
        <f t="shared" si="10"/>
        <v>0.25613025239338744</v>
      </c>
      <c r="T18" s="16">
        <f t="shared" si="11"/>
        <v>2.457492099600564</v>
      </c>
      <c r="U18" s="16">
        <f t="shared" si="12"/>
        <v>0.61437302490014101</v>
      </c>
      <c r="V18" s="16">
        <f t="shared" si="13"/>
        <v>0.24574920996005639</v>
      </c>
    </row>
    <row r="19" spans="3:22" x14ac:dyDescent="0.25">
      <c r="C19" s="2">
        <v>1992</v>
      </c>
      <c r="D19" s="16">
        <v>29.367058544115899</v>
      </c>
      <c r="E19" s="16">
        <f t="shared" si="2"/>
        <v>32.258223622926991</v>
      </c>
      <c r="F19" s="16">
        <v>38.37471783295711</v>
      </c>
      <c r="G19" s="16">
        <v>27.633869151223507</v>
      </c>
      <c r="H19" s="16">
        <f t="shared" si="3"/>
        <v>20.573832610349619</v>
      </c>
      <c r="I19" s="16">
        <v>51.792298238426874</v>
      </c>
      <c r="J19" s="16">
        <v>28.436331647239939</v>
      </c>
      <c r="K19" s="16">
        <f t="shared" si="4"/>
        <v>25.983117227959447</v>
      </c>
      <c r="L19" s="16">
        <v>45.580551124800614</v>
      </c>
      <c r="M19" s="16"/>
      <c r="N19" s="16">
        <f t="shared" si="5"/>
        <v>2.4231212543710168</v>
      </c>
      <c r="O19" s="16">
        <f t="shared" si="6"/>
        <v>0.60578031359275419</v>
      </c>
      <c r="P19" s="16">
        <f t="shared" si="7"/>
        <v>0.24231212543710165</v>
      </c>
      <c r="Q19" s="16">
        <f t="shared" si="8"/>
        <v>2.6345908998986651</v>
      </c>
      <c r="R19" s="16">
        <f t="shared" si="9"/>
        <v>0.65864772497466628</v>
      </c>
      <c r="S19" s="16">
        <f t="shared" si="10"/>
        <v>0.26345908998986656</v>
      </c>
      <c r="T19" s="16">
        <f t="shared" si="11"/>
        <v>2.5322760059066911</v>
      </c>
      <c r="U19" s="16">
        <f t="shared" si="12"/>
        <v>0.63306900147667278</v>
      </c>
      <c r="V19" s="16">
        <f t="shared" si="13"/>
        <v>0.25322760059066912</v>
      </c>
    </row>
    <row r="20" spans="3:22" x14ac:dyDescent="0.25">
      <c r="C20" s="2">
        <v>1994</v>
      </c>
      <c r="D20" s="16">
        <v>28.160167495420048</v>
      </c>
      <c r="E20" s="16">
        <f t="shared" si="2"/>
        <v>31.366134519759221</v>
      </c>
      <c r="F20" s="16">
        <v>40.473697984820731</v>
      </c>
      <c r="G20" s="16">
        <v>25.6477821695213</v>
      </c>
      <c r="H20" s="16">
        <f t="shared" si="3"/>
        <v>20.641194554238034</v>
      </c>
      <c r="I20" s="16">
        <v>53.711023276240667</v>
      </c>
      <c r="J20" s="16">
        <v>26.79402985074627</v>
      </c>
      <c r="K20" s="16">
        <f t="shared" si="4"/>
        <v>25.534328358208953</v>
      </c>
      <c r="L20" s="16">
        <v>47.671641791044777</v>
      </c>
      <c r="M20" s="16"/>
      <c r="N20" s="16">
        <f t="shared" si="5"/>
        <v>2.4969368250804598</v>
      </c>
      <c r="O20" s="16">
        <f t="shared" si="6"/>
        <v>0.62423420627011494</v>
      </c>
      <c r="P20" s="16">
        <f t="shared" si="7"/>
        <v>0.24969368250804597</v>
      </c>
      <c r="Q20" s="16">
        <f t="shared" si="8"/>
        <v>2.7640203932993446</v>
      </c>
      <c r="R20" s="16">
        <f t="shared" si="9"/>
        <v>0.69100509832483614</v>
      </c>
      <c r="S20" s="16">
        <f t="shared" si="10"/>
        <v>0.27640203932993446</v>
      </c>
      <c r="T20" s="16">
        <f t="shared" si="11"/>
        <v>2.6354088817212764</v>
      </c>
      <c r="U20" s="16">
        <f t="shared" si="12"/>
        <v>0.6588522204303191</v>
      </c>
      <c r="V20" s="16">
        <f t="shared" si="13"/>
        <v>0.26354088817212762</v>
      </c>
    </row>
    <row r="21" spans="3:22" x14ac:dyDescent="0.25">
      <c r="C21" s="2">
        <v>1996</v>
      </c>
      <c r="D21" s="16">
        <v>28.635159626376687</v>
      </c>
      <c r="E21" s="16">
        <f t="shared" si="2"/>
        <v>31.515425984331625</v>
      </c>
      <c r="F21" s="16">
        <v>39.849414389291688</v>
      </c>
      <c r="G21" s="16">
        <v>27.52941176470588</v>
      </c>
      <c r="H21" s="16">
        <f t="shared" si="3"/>
        <v>19.694117647058828</v>
      </c>
      <c r="I21" s="16">
        <v>52.776470588235291</v>
      </c>
      <c r="J21" s="16">
        <v>28.0354750207363</v>
      </c>
      <c r="K21" s="16">
        <f t="shared" si="4"/>
        <v>25.10388179396508</v>
      </c>
      <c r="L21" s="16">
        <v>46.86064318529862</v>
      </c>
      <c r="M21" s="16"/>
      <c r="N21" s="16">
        <f t="shared" si="5"/>
        <v>2.4691993577468985</v>
      </c>
      <c r="O21" s="16">
        <f t="shared" si="6"/>
        <v>0.61729983943672462</v>
      </c>
      <c r="P21" s="16">
        <f t="shared" si="7"/>
        <v>0.24691993577468982</v>
      </c>
      <c r="Q21" s="16">
        <f t="shared" si="8"/>
        <v>2.6503694926880987</v>
      </c>
      <c r="R21" s="16">
        <f t="shared" si="9"/>
        <v>0.66259237317202468</v>
      </c>
      <c r="S21" s="16">
        <f t="shared" si="10"/>
        <v>0.26503694926880988</v>
      </c>
      <c r="T21" s="16">
        <f t="shared" si="11"/>
        <v>2.5642662965980771</v>
      </c>
      <c r="U21" s="16">
        <f t="shared" si="12"/>
        <v>0.64106657414951929</v>
      </c>
      <c r="V21" s="16">
        <f t="shared" si="13"/>
        <v>0.25642662965980773</v>
      </c>
    </row>
    <row r="22" spans="3:22" x14ac:dyDescent="0.25">
      <c r="C22" s="2">
        <v>1998</v>
      </c>
      <c r="D22" s="16">
        <v>28.202400850934506</v>
      </c>
      <c r="E22" s="16">
        <f t="shared" si="2"/>
        <v>30.569262268554706</v>
      </c>
      <c r="F22" s="16">
        <v>41.228336880510788</v>
      </c>
      <c r="G22" s="16">
        <v>26.126931426382328</v>
      </c>
      <c r="H22" s="16">
        <f t="shared" si="3"/>
        <v>20.687013152854036</v>
      </c>
      <c r="I22" s="16">
        <v>53.186055420763637</v>
      </c>
      <c r="J22" s="16">
        <v>27.074660005550932</v>
      </c>
      <c r="K22" s="16">
        <f t="shared" si="4"/>
        <v>25.198224996878103</v>
      </c>
      <c r="L22" s="16">
        <v>47.727114997570965</v>
      </c>
      <c r="M22" s="16"/>
      <c r="N22" s="16">
        <f t="shared" si="5"/>
        <v>2.5020297650087118</v>
      </c>
      <c r="O22" s="16">
        <f t="shared" si="6"/>
        <v>0.62550744125217794</v>
      </c>
      <c r="P22" s="16">
        <f t="shared" si="7"/>
        <v>0.2502029765008712</v>
      </c>
      <c r="Q22" s="16">
        <f t="shared" si="8"/>
        <v>2.7309503051438537</v>
      </c>
      <c r="R22" s="16">
        <f t="shared" si="9"/>
        <v>0.68273757628596343</v>
      </c>
      <c r="S22" s="16">
        <f t="shared" si="10"/>
        <v>0.27309503051438538</v>
      </c>
      <c r="T22" s="16">
        <f t="shared" si="11"/>
        <v>2.621443085626503</v>
      </c>
      <c r="U22" s="16">
        <f t="shared" si="12"/>
        <v>0.65536077140662574</v>
      </c>
      <c r="V22" s="16">
        <f t="shared" si="13"/>
        <v>0.26214430856265031</v>
      </c>
    </row>
    <row r="23" spans="3:22" x14ac:dyDescent="0.25">
      <c r="D23" s="16"/>
      <c r="E23" s="16"/>
      <c r="F23" s="16"/>
      <c r="G23" s="16"/>
      <c r="H23" s="16"/>
      <c r="I23" s="16"/>
      <c r="J23" s="16"/>
      <c r="K23" s="16"/>
      <c r="L23" s="16"/>
      <c r="M23" s="16"/>
      <c r="N23" s="16"/>
      <c r="O23" s="16"/>
      <c r="P23" s="16"/>
      <c r="Q23" s="16"/>
      <c r="R23" s="16"/>
      <c r="S23" s="16"/>
      <c r="T23" s="16"/>
      <c r="U23" s="16"/>
      <c r="V23" s="16"/>
    </row>
    <row r="24" spans="3:22" x14ac:dyDescent="0.25">
      <c r="C24" s="2">
        <v>2000</v>
      </c>
      <c r="D24" s="16">
        <v>28.532285213260046</v>
      </c>
      <c r="E24" s="16">
        <f t="shared" si="2"/>
        <v>27.004234041238163</v>
      </c>
      <c r="F24" s="16">
        <v>44.463480745501791</v>
      </c>
      <c r="G24" s="16">
        <v>25.493043950788056</v>
      </c>
      <c r="H24" s="16">
        <f t="shared" si="3"/>
        <v>20.099005612692672</v>
      </c>
      <c r="I24" s="16">
        <v>54.407950436519272</v>
      </c>
      <c r="J24" s="16">
        <v>26.952005868265662</v>
      </c>
      <c r="K24" s="16">
        <f t="shared" si="4"/>
        <v>23.413420711595879</v>
      </c>
      <c r="L24" s="16">
        <v>49.634573420138459</v>
      </c>
      <c r="M24" s="16"/>
      <c r="N24" s="16">
        <f t="shared" ref="N24:N38" si="14">$D$7/(($D$7*D24+$E$7*E24+$F$7*F24)/100)</f>
        <v>2.5170092058134856</v>
      </c>
      <c r="O24" s="16">
        <f t="shared" ref="O24:O38" si="15">$E$7/(($D$7*D24+$E$7*E24+$F$7*F24)/100)</f>
        <v>0.62925230145337141</v>
      </c>
      <c r="P24" s="16">
        <f t="shared" ref="P24:P38" si="16">$F$7/(($D$7*D24+$E$7*E24+$F$7*F24)/100)</f>
        <v>0.25170092058134858</v>
      </c>
      <c r="Q24" s="16">
        <f t="shared" ref="Q24:Q38" si="17">$D$7/(($D$7*G24+$E$7*H24+$F$7*I24)/100)</f>
        <v>2.7809766426950309</v>
      </c>
      <c r="R24" s="16">
        <f t="shared" ref="R24:R38" si="18">$E$7/(($D$7*G24+$E$7*H24+$F$7*I24)/100)</f>
        <v>0.69524416067375772</v>
      </c>
      <c r="S24" s="16">
        <f t="shared" ref="S24:S38" si="19">$F$7/(($D$7*G24+$E$7*H24+$F$7*I24)/100)</f>
        <v>0.27809766426950305</v>
      </c>
      <c r="T24" s="16">
        <f t="shared" ref="T24:T38" si="20">$D$7/(($D$7*J24+$E$7*K24+$F$7*L24)/100)</f>
        <v>2.6476867497475034</v>
      </c>
      <c r="U24" s="16">
        <f t="shared" ref="U24:U38" si="21">$E$7/(($D$7*J24+$E$7*K24+$F$7*L24)/100)</f>
        <v>0.66192168743687585</v>
      </c>
      <c r="V24" s="16">
        <f t="shared" ref="V24:V38" si="22">$F$7/(($D$7*J24+$E$7*K24+$F$7*L24)/100)</f>
        <v>0.26476867497475032</v>
      </c>
    </row>
    <row r="25" spans="3:22" x14ac:dyDescent="0.25">
      <c r="C25" s="2">
        <v>2001</v>
      </c>
      <c r="D25" s="16">
        <v>28.339543477749192</v>
      </c>
      <c r="E25" s="16">
        <f t="shared" si="2"/>
        <v>26.636093033416781</v>
      </c>
      <c r="F25" s="16">
        <v>45.024363488834027</v>
      </c>
      <c r="G25" s="16">
        <v>25.641070780139191</v>
      </c>
      <c r="H25" s="16">
        <f t="shared" si="3"/>
        <v>20.868013175632388</v>
      </c>
      <c r="I25" s="16">
        <v>53.49091604422842</v>
      </c>
      <c r="J25" s="16">
        <v>26.923516620555066</v>
      </c>
      <c r="K25" s="16">
        <f t="shared" si="4"/>
        <v>23.609286054675163</v>
      </c>
      <c r="L25" s="16">
        <v>49.467197324769771</v>
      </c>
      <c r="M25" s="16"/>
      <c r="N25" s="16">
        <f t="shared" si="14"/>
        <v>2.5315812812360496</v>
      </c>
      <c r="O25" s="16">
        <f t="shared" si="15"/>
        <v>0.63289532030901241</v>
      </c>
      <c r="P25" s="16">
        <f t="shared" si="16"/>
        <v>0.253158128123605</v>
      </c>
      <c r="Q25" s="16">
        <f t="shared" si="17"/>
        <v>2.7618842327518336</v>
      </c>
      <c r="R25" s="16">
        <f t="shared" si="18"/>
        <v>0.6904710581879584</v>
      </c>
      <c r="S25" s="16">
        <f t="shared" si="19"/>
        <v>0.27618842327518334</v>
      </c>
      <c r="T25" s="16">
        <f t="shared" si="20"/>
        <v>2.6474246290891785</v>
      </c>
      <c r="U25" s="16">
        <f t="shared" si="21"/>
        <v>0.66185615727229463</v>
      </c>
      <c r="V25" s="16">
        <f t="shared" si="22"/>
        <v>0.2647424629089179</v>
      </c>
    </row>
    <row r="26" spans="3:22" x14ac:dyDescent="0.25">
      <c r="C26" s="2">
        <v>2002</v>
      </c>
      <c r="D26" s="16">
        <v>26.830452851142319</v>
      </c>
      <c r="E26" s="16">
        <f t="shared" si="2"/>
        <v>27.538207713878762</v>
      </c>
      <c r="F26" s="16">
        <v>45.631339434978919</v>
      </c>
      <c r="G26" s="16">
        <v>25.002703340982478</v>
      </c>
      <c r="H26" s="16">
        <f t="shared" si="3"/>
        <v>20.857331328273077</v>
      </c>
      <c r="I26" s="16">
        <v>54.139965330744445</v>
      </c>
      <c r="J26" s="16">
        <v>25.8580842426191</v>
      </c>
      <c r="K26" s="16">
        <f t="shared" si="4"/>
        <v>23.983960023659932</v>
      </c>
      <c r="L26" s="16">
        <v>50.157955733720968</v>
      </c>
      <c r="M26" s="16"/>
      <c r="N26" s="16">
        <f t="shared" si="14"/>
        <v>2.6124572232564263</v>
      </c>
      <c r="O26" s="16">
        <f t="shared" si="15"/>
        <v>0.65311430581410657</v>
      </c>
      <c r="P26" s="16">
        <f t="shared" si="16"/>
        <v>0.26124572232564264</v>
      </c>
      <c r="Q26" s="16">
        <f t="shared" si="17"/>
        <v>2.8065422864605716</v>
      </c>
      <c r="R26" s="16">
        <f t="shared" si="18"/>
        <v>0.70163557161514289</v>
      </c>
      <c r="S26" s="16">
        <f t="shared" si="19"/>
        <v>0.28065422864605716</v>
      </c>
      <c r="T26" s="16">
        <f t="shared" si="20"/>
        <v>2.7122417432725823</v>
      </c>
      <c r="U26" s="16">
        <f t="shared" si="21"/>
        <v>0.67806043581814557</v>
      </c>
      <c r="V26" s="16">
        <f t="shared" si="22"/>
        <v>0.27122417432725826</v>
      </c>
    </row>
    <row r="27" spans="3:22" x14ac:dyDescent="0.25">
      <c r="C27" s="2">
        <v>2003</v>
      </c>
      <c r="D27" s="16">
        <v>27.982918837353875</v>
      </c>
      <c r="E27" s="16">
        <f t="shared" si="2"/>
        <v>26.902378387534771</v>
      </c>
      <c r="F27" s="16">
        <v>45.114702775111354</v>
      </c>
      <c r="G27" s="16">
        <v>24.208176093098345</v>
      </c>
      <c r="H27" s="16">
        <f t="shared" si="3"/>
        <v>20.589042696511306</v>
      </c>
      <c r="I27" s="16">
        <v>55.202781210390349</v>
      </c>
      <c r="J27" s="16">
        <v>25.973708062299384</v>
      </c>
      <c r="K27" s="16">
        <f t="shared" si="4"/>
        <v>23.541221630090572</v>
      </c>
      <c r="L27" s="16">
        <v>50.485070307610044</v>
      </c>
      <c r="M27" s="16"/>
      <c r="N27" s="16">
        <f t="shared" si="14"/>
        <v>2.5497205897626132</v>
      </c>
      <c r="O27" s="16">
        <f t="shared" si="15"/>
        <v>0.63743014744065329</v>
      </c>
      <c r="P27" s="16">
        <f t="shared" si="16"/>
        <v>0.25497205897626135</v>
      </c>
      <c r="Q27" s="16">
        <f t="shared" si="17"/>
        <v>2.8673247364356529</v>
      </c>
      <c r="R27" s="16">
        <f t="shared" si="18"/>
        <v>0.71683118410891322</v>
      </c>
      <c r="S27" s="16">
        <f t="shared" si="19"/>
        <v>0.28673247364356524</v>
      </c>
      <c r="T27" s="16">
        <f t="shared" si="20"/>
        <v>2.7094748886861764</v>
      </c>
      <c r="U27" s="16">
        <f t="shared" si="21"/>
        <v>0.67736872217154409</v>
      </c>
      <c r="V27" s="16">
        <f t="shared" si="22"/>
        <v>0.27094748886861764</v>
      </c>
    </row>
    <row r="28" spans="3:22" x14ac:dyDescent="0.25">
      <c r="C28" s="2">
        <v>2004</v>
      </c>
      <c r="D28" s="16">
        <v>26.404469076255459</v>
      </c>
      <c r="E28" s="16">
        <f t="shared" si="2"/>
        <v>27.667045565454231</v>
      </c>
      <c r="F28" s="16">
        <v>45.92848535829031</v>
      </c>
      <c r="G28" s="16">
        <v>23.04628019544154</v>
      </c>
      <c r="H28" s="16">
        <f t="shared" si="3"/>
        <v>20.0326034770939</v>
      </c>
      <c r="I28" s="16">
        <v>56.92111632746456</v>
      </c>
      <c r="J28" s="16">
        <v>24.611918349461483</v>
      </c>
      <c r="K28" s="16">
        <f t="shared" si="4"/>
        <v>23.591895179385503</v>
      </c>
      <c r="L28" s="16">
        <v>51.796186471153014</v>
      </c>
      <c r="M28" s="16"/>
      <c r="N28" s="16">
        <f t="shared" si="14"/>
        <v>2.6375426392635211</v>
      </c>
      <c r="O28" s="16">
        <f t="shared" si="15"/>
        <v>0.65938565981588027</v>
      </c>
      <c r="P28" s="16">
        <f t="shared" si="16"/>
        <v>0.26375426392635209</v>
      </c>
      <c r="Q28" s="16">
        <f t="shared" si="17"/>
        <v>2.9632665158177027</v>
      </c>
      <c r="R28" s="16">
        <f t="shared" si="18"/>
        <v>0.74081662895442568</v>
      </c>
      <c r="S28" s="16">
        <f t="shared" si="19"/>
        <v>0.2963266515817703</v>
      </c>
      <c r="T28" s="16">
        <f t="shared" si="20"/>
        <v>2.8019437022945075</v>
      </c>
      <c r="U28" s="16">
        <f t="shared" si="21"/>
        <v>0.70048592557362688</v>
      </c>
      <c r="V28" s="16">
        <f t="shared" si="22"/>
        <v>0.28019437022945076</v>
      </c>
    </row>
    <row r="29" spans="3:22" x14ac:dyDescent="0.25">
      <c r="C29" s="2">
        <v>2005</v>
      </c>
      <c r="D29" s="16">
        <v>25.270856485519111</v>
      </c>
      <c r="E29" s="16">
        <f t="shared" si="2"/>
        <v>27.252715533486075</v>
      </c>
      <c r="F29" s="16">
        <v>47.476427980994814</v>
      </c>
      <c r="G29" s="16">
        <v>22.676052844360061</v>
      </c>
      <c r="H29" s="16">
        <f t="shared" si="3"/>
        <v>20.522273170715213</v>
      </c>
      <c r="I29" s="16">
        <v>56.801673984924726</v>
      </c>
      <c r="J29" s="16">
        <v>23.886043922396748</v>
      </c>
      <c r="K29" s="16">
        <f t="shared" si="4"/>
        <v>23.6605612707524</v>
      </c>
      <c r="L29" s="16">
        <v>52.453394806850852</v>
      </c>
      <c r="M29" s="16"/>
      <c r="N29" s="16">
        <f t="shared" si="14"/>
        <v>2.7150541321145565</v>
      </c>
      <c r="O29" s="16">
        <f t="shared" si="15"/>
        <v>0.67876353302863912</v>
      </c>
      <c r="P29" s="16">
        <f t="shared" si="16"/>
        <v>0.27150541321145566</v>
      </c>
      <c r="Q29" s="16">
        <f t="shared" si="17"/>
        <v>2.9862523213862229</v>
      </c>
      <c r="R29" s="16">
        <f t="shared" si="18"/>
        <v>0.74656308034655572</v>
      </c>
      <c r="S29" s="16">
        <f t="shared" si="19"/>
        <v>0.2986252321386223</v>
      </c>
      <c r="T29" s="16">
        <f t="shared" si="20"/>
        <v>2.8533500439798574</v>
      </c>
      <c r="U29" s="16">
        <f t="shared" si="21"/>
        <v>0.71333751099496434</v>
      </c>
      <c r="V29" s="16">
        <f t="shared" si="22"/>
        <v>0.2853350043979857</v>
      </c>
    </row>
    <row r="30" spans="3:22" x14ac:dyDescent="0.25">
      <c r="C30" s="2">
        <v>2006</v>
      </c>
      <c r="D30" s="16">
        <v>23.222583559292516</v>
      </c>
      <c r="E30" s="16">
        <f t="shared" si="2"/>
        <v>27.218556771273462</v>
      </c>
      <c r="F30" s="16">
        <v>49.558859669434021</v>
      </c>
      <c r="G30" s="16">
        <v>20.914945472254228</v>
      </c>
      <c r="H30" s="16">
        <f t="shared" si="3"/>
        <v>20.741402899014997</v>
      </c>
      <c r="I30" s="16">
        <v>58.343651628730775</v>
      </c>
      <c r="J30" s="16">
        <v>21.98947877546998</v>
      </c>
      <c r="K30" s="16">
        <f t="shared" si="4"/>
        <v>23.757467010655876</v>
      </c>
      <c r="L30" s="16">
        <v>54.253054213874144</v>
      </c>
      <c r="M30" s="16"/>
      <c r="N30" s="16">
        <f t="shared" si="14"/>
        <v>2.858522402999963</v>
      </c>
      <c r="O30" s="16">
        <f t="shared" si="15"/>
        <v>0.71463060074999074</v>
      </c>
      <c r="P30" s="16">
        <f t="shared" si="16"/>
        <v>0.28585224029999634</v>
      </c>
      <c r="Q30" s="16">
        <f t="shared" si="17"/>
        <v>3.1313937816052189</v>
      </c>
      <c r="R30" s="16">
        <f t="shared" si="18"/>
        <v>0.78284844540130472</v>
      </c>
      <c r="S30" s="16">
        <f t="shared" si="19"/>
        <v>0.3131393781605219</v>
      </c>
      <c r="T30" s="16">
        <f t="shared" si="20"/>
        <v>2.9981275839202568</v>
      </c>
      <c r="U30" s="16">
        <f t="shared" si="21"/>
        <v>0.7495318959800642</v>
      </c>
      <c r="V30" s="16">
        <f t="shared" si="22"/>
        <v>0.29981275839202565</v>
      </c>
    </row>
    <row r="31" spans="3:22" x14ac:dyDescent="0.25">
      <c r="C31" s="2">
        <v>2007</v>
      </c>
      <c r="D31" s="16">
        <v>22.145081011532341</v>
      </c>
      <c r="E31" s="16">
        <f t="shared" si="2"/>
        <v>27.969115684752182</v>
      </c>
      <c r="F31" s="16">
        <v>49.885803303715477</v>
      </c>
      <c r="G31" s="16">
        <v>19.710155415538658</v>
      </c>
      <c r="H31" s="16">
        <f t="shared" si="3"/>
        <v>21.173508359955839</v>
      </c>
      <c r="I31" s="16">
        <v>59.116336224505503</v>
      </c>
      <c r="J31" s="16">
        <v>20.853221734270878</v>
      </c>
      <c r="K31" s="16">
        <f t="shared" si="4"/>
        <v>24.363391919886343</v>
      </c>
      <c r="L31" s="16">
        <v>54.783386345842779</v>
      </c>
      <c r="M31" s="16"/>
      <c r="N31" s="16">
        <f t="shared" si="14"/>
        <v>2.9303221897786806</v>
      </c>
      <c r="O31" s="16">
        <f t="shared" si="15"/>
        <v>0.73258054744467016</v>
      </c>
      <c r="P31" s="16">
        <f t="shared" si="16"/>
        <v>0.29303221897786808</v>
      </c>
      <c r="Q31" s="16">
        <f t="shared" si="17"/>
        <v>3.2346583416706984</v>
      </c>
      <c r="R31" s="16">
        <f t="shared" si="18"/>
        <v>0.80866458541767461</v>
      </c>
      <c r="S31" s="16">
        <f t="shared" si="19"/>
        <v>0.32346583416706987</v>
      </c>
      <c r="T31" s="16">
        <f t="shared" si="20"/>
        <v>3.0842866120282726</v>
      </c>
      <c r="U31" s="16">
        <f t="shared" si="21"/>
        <v>0.77107165300706815</v>
      </c>
      <c r="V31" s="16">
        <f t="shared" si="22"/>
        <v>0.30842866120282725</v>
      </c>
    </row>
    <row r="32" spans="3:22" x14ac:dyDescent="0.25">
      <c r="C32" s="2">
        <v>2008</v>
      </c>
      <c r="D32" s="16">
        <v>21.615128448435755</v>
      </c>
      <c r="E32" s="16">
        <f t="shared" si="2"/>
        <v>29.799412813798867</v>
      </c>
      <c r="F32" s="16">
        <v>48.585458737765379</v>
      </c>
      <c r="G32" s="16">
        <v>20.618250305311637</v>
      </c>
      <c r="H32" s="16">
        <f t="shared" si="3"/>
        <v>21.715791799345293</v>
      </c>
      <c r="I32" s="16">
        <v>57.66595789534307</v>
      </c>
      <c r="J32" s="16">
        <v>21.082064210674716</v>
      </c>
      <c r="K32" s="16">
        <f t="shared" si="4"/>
        <v>25.475003637143566</v>
      </c>
      <c r="L32" s="16">
        <v>53.442932152181719</v>
      </c>
      <c r="M32" s="16"/>
      <c r="N32" s="16">
        <f t="shared" si="14"/>
        <v>2.9478066490683603</v>
      </c>
      <c r="O32" s="16">
        <f t="shared" si="15"/>
        <v>0.73695166226709008</v>
      </c>
      <c r="P32" s="16">
        <f t="shared" si="16"/>
        <v>0.29478066490683602</v>
      </c>
      <c r="Q32" s="16">
        <f t="shared" si="17"/>
        <v>3.1432906071985833</v>
      </c>
      <c r="R32" s="16">
        <f t="shared" si="18"/>
        <v>0.78582265179964583</v>
      </c>
      <c r="S32" s="16">
        <f t="shared" si="19"/>
        <v>0.31432906071985833</v>
      </c>
      <c r="T32" s="16">
        <f t="shared" si="20"/>
        <v>3.0492352389253017</v>
      </c>
      <c r="U32" s="16">
        <f t="shared" si="21"/>
        <v>0.76230880973132542</v>
      </c>
      <c r="V32" s="16">
        <f t="shared" si="22"/>
        <v>0.30492352389253014</v>
      </c>
    </row>
    <row r="33" spans="3:22" x14ac:dyDescent="0.25">
      <c r="C33" s="2">
        <v>2009</v>
      </c>
      <c r="D33" s="16">
        <v>21.956822598789749</v>
      </c>
      <c r="E33" s="16">
        <f t="shared" si="2"/>
        <v>28.48160693613913</v>
      </c>
      <c r="F33" s="16">
        <v>49.561570465071121</v>
      </c>
      <c r="G33" s="16">
        <v>20.240322321544166</v>
      </c>
      <c r="H33" s="16">
        <f t="shared" si="3"/>
        <v>22.504603870244335</v>
      </c>
      <c r="I33" s="16">
        <v>57.255073808211499</v>
      </c>
      <c r="J33" s="16">
        <v>21.043934793753433</v>
      </c>
      <c r="K33" s="16">
        <f t="shared" si="4"/>
        <v>25.303665780793356</v>
      </c>
      <c r="L33" s="16">
        <v>53.652399425453211</v>
      </c>
      <c r="M33" s="16"/>
      <c r="N33" s="16">
        <f t="shared" si="14"/>
        <v>2.9382916403578299</v>
      </c>
      <c r="O33" s="16">
        <f t="shared" si="15"/>
        <v>0.73457291008945746</v>
      </c>
      <c r="P33" s="16">
        <f t="shared" si="16"/>
        <v>0.29382916403578302</v>
      </c>
      <c r="Q33" s="16">
        <f t="shared" si="17"/>
        <v>3.1653602553382729</v>
      </c>
      <c r="R33" s="16">
        <f t="shared" si="18"/>
        <v>0.79134006383456823</v>
      </c>
      <c r="S33" s="16">
        <f t="shared" si="19"/>
        <v>0.31653602553382726</v>
      </c>
      <c r="T33" s="16">
        <f t="shared" si="20"/>
        <v>3.0548257661956097</v>
      </c>
      <c r="U33" s="16">
        <f t="shared" si="21"/>
        <v>0.76370644154890244</v>
      </c>
      <c r="V33" s="16">
        <f t="shared" si="22"/>
        <v>0.30548257661956096</v>
      </c>
    </row>
    <row r="34" spans="3:22" x14ac:dyDescent="0.25">
      <c r="C34" s="2">
        <v>2010</v>
      </c>
      <c r="D34" s="16">
        <v>20.911856852438191</v>
      </c>
      <c r="E34" s="16">
        <f t="shared" si="2"/>
        <v>27.955338986835855</v>
      </c>
      <c r="F34" s="16">
        <v>51.132804160725954</v>
      </c>
      <c r="G34" s="16">
        <v>19.819664582526698</v>
      </c>
      <c r="H34" s="16">
        <f t="shared" si="3"/>
        <v>21.854242073800762</v>
      </c>
      <c r="I34" s="16">
        <v>58.32609334367254</v>
      </c>
      <c r="J34" s="16">
        <v>20.334161987043206</v>
      </c>
      <c r="K34" s="16">
        <f t="shared" si="4"/>
        <v>24.72811649292014</v>
      </c>
      <c r="L34" s="16">
        <v>54.937721520036654</v>
      </c>
      <c r="M34" s="16"/>
      <c r="N34" s="16">
        <f t="shared" si="14"/>
        <v>3.0290205599586462</v>
      </c>
      <c r="O34" s="16">
        <f t="shared" si="15"/>
        <v>0.75725513998966154</v>
      </c>
      <c r="P34" s="16">
        <f t="shared" si="16"/>
        <v>0.30290205599586462</v>
      </c>
      <c r="Q34" s="16">
        <f t="shared" si="17"/>
        <v>3.2137977918538825</v>
      </c>
      <c r="R34" s="16">
        <f t="shared" si="18"/>
        <v>0.80344944796347062</v>
      </c>
      <c r="S34" s="16">
        <f t="shared" si="19"/>
        <v>0.32137977918538824</v>
      </c>
      <c r="T34" s="16">
        <f t="shared" si="20"/>
        <v>3.124027328011588</v>
      </c>
      <c r="U34" s="16">
        <f t="shared" si="21"/>
        <v>0.781006832002897</v>
      </c>
      <c r="V34" s="16">
        <f t="shared" si="22"/>
        <v>0.31240273280115877</v>
      </c>
    </row>
    <row r="35" spans="3:22" x14ac:dyDescent="0.25">
      <c r="C35" s="2">
        <v>2011</v>
      </c>
      <c r="D35" s="16">
        <v>20.975952476285201</v>
      </c>
      <c r="E35" s="16">
        <f t="shared" si="2"/>
        <v>26.614551834770545</v>
      </c>
      <c r="F35" s="16">
        <v>52.409495688944254</v>
      </c>
      <c r="G35" s="16">
        <v>18.837373189501648</v>
      </c>
      <c r="H35" s="16">
        <f t="shared" si="3"/>
        <v>22.257204901754733</v>
      </c>
      <c r="I35" s="16">
        <v>58.905421908743619</v>
      </c>
      <c r="J35" s="16">
        <v>19.847399239532042</v>
      </c>
      <c r="K35" s="16">
        <f t="shared" si="4"/>
        <v>24.315142051306442</v>
      </c>
      <c r="L35" s="16">
        <v>55.837458709161517</v>
      </c>
      <c r="M35" s="16"/>
      <c r="N35" s="16">
        <f t="shared" si="14"/>
        <v>3.0422378211072787</v>
      </c>
      <c r="O35" s="16">
        <f t="shared" si="15"/>
        <v>0.76055945527681967</v>
      </c>
      <c r="P35" s="16">
        <f t="shared" si="16"/>
        <v>0.30422378211072787</v>
      </c>
      <c r="Q35" s="16">
        <f t="shared" si="17"/>
        <v>3.3011780320098687</v>
      </c>
      <c r="R35" s="16">
        <f t="shared" si="18"/>
        <v>0.82529450800246718</v>
      </c>
      <c r="S35" s="16">
        <f t="shared" si="19"/>
        <v>0.33011780320098688</v>
      </c>
      <c r="T35" s="16">
        <f t="shared" si="20"/>
        <v>3.1736026713475214</v>
      </c>
      <c r="U35" s="16">
        <f t="shared" si="21"/>
        <v>0.79340066783688035</v>
      </c>
      <c r="V35" s="16">
        <f t="shared" si="22"/>
        <v>0.31736026713475213</v>
      </c>
    </row>
    <row r="36" spans="3:22" x14ac:dyDescent="0.25">
      <c r="C36" s="2">
        <v>2012</v>
      </c>
      <c r="D36" s="16">
        <v>22.159911975351132</v>
      </c>
      <c r="E36" s="16">
        <f t="shared" si="2"/>
        <v>23.311060618399406</v>
      </c>
      <c r="F36" s="16">
        <v>54.529027406249462</v>
      </c>
      <c r="G36" s="16">
        <v>18.777295270218225</v>
      </c>
      <c r="H36" s="16">
        <f t="shared" si="3"/>
        <v>17.938021776845773</v>
      </c>
      <c r="I36" s="16">
        <v>63.284682952936002</v>
      </c>
      <c r="J36" s="16">
        <v>20.431596622826714</v>
      </c>
      <c r="K36" s="16">
        <f t="shared" si="4"/>
        <v>20.565758289147691</v>
      </c>
      <c r="L36" s="16">
        <v>59.002645088025595</v>
      </c>
      <c r="M36" s="16"/>
      <c r="N36" s="16">
        <f t="shared" si="14"/>
        <v>2.9903787669659732</v>
      </c>
      <c r="O36" s="16">
        <f t="shared" si="15"/>
        <v>0.74759469174149329</v>
      </c>
      <c r="P36" s="16">
        <f t="shared" si="16"/>
        <v>0.29903787669659732</v>
      </c>
      <c r="Q36" s="16">
        <f t="shared" si="17"/>
        <v>3.3794893844033767</v>
      </c>
      <c r="R36" s="16">
        <f t="shared" si="18"/>
        <v>0.84487234610084416</v>
      </c>
      <c r="S36" s="16">
        <f t="shared" si="19"/>
        <v>0.33794893844033769</v>
      </c>
      <c r="T36" s="16">
        <f t="shared" si="20"/>
        <v>3.1772962404148823</v>
      </c>
      <c r="U36" s="16">
        <f t="shared" si="21"/>
        <v>0.79432406010372059</v>
      </c>
      <c r="V36" s="16">
        <f t="shared" si="22"/>
        <v>0.31772962404148819</v>
      </c>
    </row>
    <row r="37" spans="3:22" x14ac:dyDescent="0.25">
      <c r="C37" s="2">
        <v>2013</v>
      </c>
      <c r="D37" s="16">
        <v>21.600441879691481</v>
      </c>
      <c r="E37" s="16">
        <f t="shared" si="2"/>
        <v>24.80006982463123</v>
      </c>
      <c r="F37" s="16">
        <v>53.59948829567729</v>
      </c>
      <c r="G37" s="16">
        <v>16.829020876187119</v>
      </c>
      <c r="H37" s="16">
        <f t="shared" si="3"/>
        <v>20.79327465932079</v>
      </c>
      <c r="I37" s="16">
        <v>62.377704464492091</v>
      </c>
      <c r="J37" s="16">
        <v>19.164889107915858</v>
      </c>
      <c r="K37" s="16">
        <f t="shared" si="4"/>
        <v>22.755418707424472</v>
      </c>
      <c r="L37" s="16">
        <v>58.07969218465967</v>
      </c>
      <c r="M37" s="16"/>
      <c r="N37" s="16">
        <f t="shared" si="14"/>
        <v>3.0156444245547607</v>
      </c>
      <c r="O37" s="16">
        <f t="shared" si="15"/>
        <v>0.75391110613869017</v>
      </c>
      <c r="P37" s="16">
        <f t="shared" si="16"/>
        <v>0.30156444245547603</v>
      </c>
      <c r="Q37" s="16">
        <f t="shared" si="17"/>
        <v>3.5379306871384038</v>
      </c>
      <c r="R37" s="16">
        <f t="shared" si="18"/>
        <v>0.88448267178460094</v>
      </c>
      <c r="S37" s="16">
        <f t="shared" si="19"/>
        <v>0.35379306871384036</v>
      </c>
      <c r="T37" s="16">
        <f t="shared" si="20"/>
        <v>3.2613963867393774</v>
      </c>
      <c r="U37" s="16">
        <f t="shared" si="21"/>
        <v>0.81534909668484434</v>
      </c>
      <c r="V37" s="16">
        <f t="shared" si="22"/>
        <v>0.32613963867393775</v>
      </c>
    </row>
    <row r="38" spans="3:22" x14ac:dyDescent="0.25">
      <c r="C38" s="2">
        <v>2014</v>
      </c>
      <c r="D38" s="16">
        <v>20.420532714630287</v>
      </c>
      <c r="E38" s="16">
        <f t="shared" si="2"/>
        <v>25.087100316203699</v>
      </c>
      <c r="F38" s="16">
        <v>54.492366969166014</v>
      </c>
      <c r="G38" s="16">
        <v>17.22794177263609</v>
      </c>
      <c r="H38" s="16">
        <f t="shared" si="3"/>
        <v>20.175543794513676</v>
      </c>
      <c r="I38" s="16">
        <v>62.596514432850235</v>
      </c>
      <c r="J38" s="16">
        <v>18.78823666791348</v>
      </c>
      <c r="K38" s="16">
        <f t="shared" si="4"/>
        <v>22.575937928273582</v>
      </c>
      <c r="L38" s="16">
        <v>58.635825403812937</v>
      </c>
      <c r="M38" s="16"/>
      <c r="N38" s="16">
        <f t="shared" si="14"/>
        <v>3.111238168074109</v>
      </c>
      <c r="O38" s="16">
        <f t="shared" si="15"/>
        <v>0.77780954201852726</v>
      </c>
      <c r="P38" s="16">
        <f t="shared" si="16"/>
        <v>0.31112381680741091</v>
      </c>
      <c r="Q38" s="16">
        <f t="shared" si="17"/>
        <v>3.504900654581216</v>
      </c>
      <c r="R38" s="16">
        <f t="shared" si="18"/>
        <v>0.87622516364530401</v>
      </c>
      <c r="S38" s="16">
        <f t="shared" si="19"/>
        <v>0.35049006545812161</v>
      </c>
      <c r="T38" s="16">
        <f t="shared" si="20"/>
        <v>3.3007871658413581</v>
      </c>
      <c r="U38" s="16">
        <f t="shared" si="21"/>
        <v>0.82519679146033953</v>
      </c>
      <c r="V38" s="16">
        <f t="shared" si="22"/>
        <v>0.33007871658413579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0989ECBCFA674EBC14842042799FDD" ma:contentTypeVersion="13" ma:contentTypeDescription="Create a new document." ma:contentTypeScope="" ma:versionID="00a16783a6de20a3cb6cb2eef2fd6ca2">
  <xsd:schema xmlns:xsd="http://www.w3.org/2001/XMLSchema" xmlns:xs="http://www.w3.org/2001/XMLSchema" xmlns:p="http://schemas.microsoft.com/office/2006/metadata/properties" xmlns:ns3="a4cb640e-2356-4525-8fa1-c24e10823303" xmlns:ns4="1dc8bab4-b806-43b6-bc8a-d0aebe0dc845" targetNamespace="http://schemas.microsoft.com/office/2006/metadata/properties" ma:root="true" ma:fieldsID="01e014350080e081452eba2d738acee5" ns3:_="" ns4:_="">
    <xsd:import namespace="a4cb640e-2356-4525-8fa1-c24e10823303"/>
    <xsd:import namespace="1dc8bab4-b806-43b6-bc8a-d0aebe0dc8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b640e-2356-4525-8fa1-c24e108233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c8bab4-b806-43b6-bc8a-d0aebe0dc8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527E39-BAA4-4B13-9F0A-69B159666D9D}">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1dc8bab4-b806-43b6-bc8a-d0aebe0dc845"/>
    <ds:schemaRef ds:uri="a4cb640e-2356-4525-8fa1-c24e10823303"/>
    <ds:schemaRef ds:uri="http://www.w3.org/XML/1998/namespace"/>
    <ds:schemaRef ds:uri="http://purl.org/dc/dcmitype/"/>
  </ds:schemaRefs>
</ds:datastoreItem>
</file>

<file path=customXml/itemProps2.xml><?xml version="1.0" encoding="utf-8"?>
<ds:datastoreItem xmlns:ds="http://schemas.openxmlformats.org/officeDocument/2006/customXml" ds:itemID="{D0791FC2-11DF-49E3-92ED-3297F247A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cb640e-2356-4525-8fa1-c24e10823303"/>
    <ds:schemaRef ds:uri="1dc8bab4-b806-43b6-bc8a-d0aebe0dc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FA5EAE-D6A2-4A41-BD5F-11386C18E3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Please read first</vt:lpstr>
      <vt:lpstr>Asbestos risk</vt:lpstr>
      <vt:lpstr>Parameter look up and reference</vt:lpstr>
      <vt:lpstr>lung can new</vt:lpstr>
      <vt:lpstr>smokers</vt:lpstr>
      <vt:lpstr>Age_adj_l_1</vt:lpstr>
      <vt:lpstr>Age_adj_l_10</vt:lpstr>
      <vt:lpstr>Age_adj_l_11</vt:lpstr>
      <vt:lpstr>Age_adj_l_12</vt:lpstr>
      <vt:lpstr>Age_adj_l_2</vt:lpstr>
      <vt:lpstr>Age_adj_l_3</vt:lpstr>
      <vt:lpstr>Age_adj_l_4</vt:lpstr>
      <vt:lpstr>Age_adj_l_5</vt:lpstr>
      <vt:lpstr>Age_adj_l_6</vt:lpstr>
      <vt:lpstr>Age_adj_l_7</vt:lpstr>
      <vt:lpstr>Age_adj_l_8</vt:lpstr>
      <vt:lpstr>Age_adj_l_9</vt:lpstr>
      <vt:lpstr>Age_adj_m_1</vt:lpstr>
      <vt:lpstr>Age_adj_m_10</vt:lpstr>
      <vt:lpstr>Age_adj_m_11</vt:lpstr>
      <vt:lpstr>Age_adj_m_12</vt:lpstr>
      <vt:lpstr>Age_adj_m_2</vt:lpstr>
      <vt:lpstr>Age_adj_m_3</vt:lpstr>
      <vt:lpstr>Age_adj_m_4</vt:lpstr>
      <vt:lpstr>Age_adj_m_5</vt:lpstr>
      <vt:lpstr>Age_adj_m_6</vt:lpstr>
      <vt:lpstr>Age_adj_m_7</vt:lpstr>
      <vt:lpstr>Age_adj_m_8</vt:lpstr>
      <vt:lpstr>Age_adj_m_9</vt:lpstr>
      <vt:lpstr>AL</vt:lpstr>
      <vt:lpstr>Apl</vt:lpstr>
      <vt:lpstr>Apr</vt:lpstr>
      <vt:lpstr>CumX_1</vt:lpstr>
      <vt:lpstr>CumX_10</vt:lpstr>
      <vt:lpstr>CumX_11</vt:lpstr>
      <vt:lpstr>CumX_12</vt:lpstr>
      <vt:lpstr>CumX_2</vt:lpstr>
      <vt:lpstr>CumX_3</vt:lpstr>
      <vt:lpstr>CumX_4</vt:lpstr>
      <vt:lpstr>CumX_5</vt:lpstr>
      <vt:lpstr>CumX_6</vt:lpstr>
      <vt:lpstr>CumX_7</vt:lpstr>
      <vt:lpstr>CumX_8</vt:lpstr>
      <vt:lpstr>CumX_9</vt:lpstr>
      <vt:lpstr>E_L</vt:lpstr>
      <vt:lpstr>Eadj</vt:lpstr>
      <vt:lpstr>r_lung</vt:lpstr>
      <vt:lpstr>r_meso</vt:lpstr>
      <vt:lpst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Mitcheson, Barry</dc:creator>
  <cp:lastModifiedBy>Cole, Simon</cp:lastModifiedBy>
  <cp:lastPrinted>2020-10-06T13:12:21Z</cp:lastPrinted>
  <dcterms:created xsi:type="dcterms:W3CDTF">2019-11-24T11:12:52Z</dcterms:created>
  <dcterms:modified xsi:type="dcterms:W3CDTF">2021-01-31T17:14:47Z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0x0101003B0989ECBCFA674EBC14842042799FDD</vt:lpwstr>
  </property>
</Properties>
</file>